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marthenshire-my.sharepoint.com/personal/rebeccaevans_carmarthenshire_gov_uk/Documents/Desktop/Annual Leave/"/>
    </mc:Choice>
  </mc:AlternateContent>
  <xr:revisionPtr revIDLastSave="0" documentId="8_{C53009C3-0385-4840-BD1B-C6FDF920DC2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ick over 1 leave year" sheetId="1" r:id="rId1"/>
    <sheet name="Sick over 2 leave years" sheetId="2" r:id="rId2"/>
    <sheet name="multiple LTS dates in progress" sheetId="3" state="hidden" r:id="rId3"/>
    <sheet name="Sickness Dismissal Date" sheetId="4" r:id="rId4"/>
    <sheet name="Minute Guide" sheetId="5" r:id="rId5"/>
  </sheets>
  <definedNames>
    <definedName name="_xlnm.Print_Area" localSheetId="0">'Sick over 1 leave year'!$J$2:$M$29</definedName>
    <definedName name="_xlnm.Print_Area" localSheetId="1">'Sick over 2 leave years'!$O$15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2" l="1"/>
  <c r="F39" i="2"/>
  <c r="D39" i="2"/>
  <c r="B39" i="2"/>
  <c r="F38" i="2"/>
  <c r="D38" i="2"/>
  <c r="B38" i="2"/>
  <c r="F37" i="2"/>
  <c r="D37" i="2"/>
  <c r="B37" i="2"/>
  <c r="F36" i="2"/>
  <c r="D36" i="2"/>
  <c r="B36" i="2"/>
  <c r="F35" i="2"/>
  <c r="D35" i="2"/>
  <c r="B35" i="2"/>
  <c r="F34" i="2"/>
  <c r="D34" i="2"/>
  <c r="B34" i="2"/>
  <c r="F33" i="2"/>
  <c r="D33" i="2"/>
  <c r="B33" i="2"/>
  <c r="F32" i="2"/>
  <c r="D32" i="2"/>
  <c r="B32" i="2"/>
  <c r="F31" i="2"/>
  <c r="D31" i="2"/>
  <c r="B31" i="2"/>
  <c r="F30" i="2"/>
  <c r="D30" i="2"/>
  <c r="B30" i="2"/>
  <c r="F29" i="2"/>
  <c r="D29" i="2"/>
  <c r="B29" i="2"/>
  <c r="F28" i="2"/>
  <c r="D28" i="2"/>
  <c r="B28" i="2"/>
  <c r="F27" i="2"/>
  <c r="D27" i="2"/>
  <c r="B27" i="2"/>
  <c r="F26" i="2"/>
  <c r="D26" i="2"/>
  <c r="B26" i="2"/>
  <c r="F25" i="2"/>
  <c r="D25" i="2"/>
  <c r="B25" i="2"/>
  <c r="F24" i="2"/>
  <c r="D24" i="2"/>
  <c r="B24" i="2"/>
  <c r="F23" i="2"/>
  <c r="D23" i="2"/>
  <c r="B23" i="2"/>
  <c r="F22" i="2"/>
  <c r="D22" i="2"/>
  <c r="B22" i="2"/>
  <c r="F21" i="2"/>
  <c r="D21" i="2"/>
  <c r="B21" i="2"/>
  <c r="F20" i="2"/>
  <c r="D20" i="2"/>
  <c r="B20" i="2"/>
  <c r="F19" i="2"/>
  <c r="D19" i="2"/>
  <c r="B19" i="2"/>
  <c r="F18" i="2"/>
  <c r="D18" i="2"/>
  <c r="B18" i="2"/>
  <c r="F17" i="2"/>
  <c r="D17" i="2"/>
  <c r="B17" i="2"/>
  <c r="F16" i="2"/>
  <c r="D16" i="2"/>
  <c r="B16" i="2"/>
  <c r="F15" i="2"/>
  <c r="D15" i="2"/>
  <c r="B15" i="2"/>
  <c r="F14" i="2"/>
  <c r="D14" i="2"/>
  <c r="B14" i="2"/>
  <c r="F13" i="2"/>
  <c r="D13" i="2"/>
  <c r="B13" i="2"/>
  <c r="F12" i="2"/>
  <c r="D12" i="2"/>
  <c r="B12" i="2"/>
  <c r="F11" i="2"/>
  <c r="D11" i="2"/>
  <c r="B11" i="2"/>
  <c r="F10" i="2"/>
  <c r="D10" i="2"/>
  <c r="B10" i="2"/>
  <c r="F9" i="2"/>
  <c r="D9" i="2"/>
  <c r="B9" i="2"/>
  <c r="F8" i="2"/>
  <c r="D8" i="2"/>
  <c r="B8" i="2"/>
  <c r="F7" i="2"/>
  <c r="D7" i="2"/>
  <c r="B7" i="2"/>
  <c r="F6" i="2"/>
  <c r="D6" i="2"/>
  <c r="B6" i="2"/>
  <c r="F5" i="2"/>
  <c r="D5" i="2"/>
  <c r="B5" i="2"/>
  <c r="F4" i="2"/>
  <c r="D4" i="2"/>
  <c r="B4" i="2"/>
  <c r="F3" i="2"/>
  <c r="D3" i="2"/>
  <c r="B3" i="2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  <c r="F10" i="1"/>
  <c r="D10" i="1"/>
  <c r="B10" i="1"/>
  <c r="F9" i="1"/>
  <c r="D9" i="1"/>
  <c r="B9" i="1"/>
  <c r="F8" i="1"/>
  <c r="D8" i="1"/>
  <c r="B8" i="1"/>
  <c r="F7" i="1"/>
  <c r="D7" i="1"/>
  <c r="B7" i="1"/>
  <c r="F6" i="1"/>
  <c r="D6" i="1"/>
  <c r="B6" i="1"/>
  <c r="F5" i="1"/>
  <c r="D5" i="1"/>
  <c r="B5" i="1"/>
  <c r="F4" i="1"/>
  <c r="D4" i="1"/>
  <c r="B4" i="1"/>
  <c r="F3" i="1"/>
  <c r="D3" i="1"/>
  <c r="B3" i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B4" i="4"/>
  <c r="H42" i="1"/>
  <c r="K4" i="1"/>
  <c r="K7" i="1"/>
  <c r="K24" i="1" s="1"/>
  <c r="K15" i="1"/>
  <c r="K16" i="1" s="1"/>
  <c r="K17" i="1" s="1"/>
  <c r="R16" i="3"/>
  <c r="P17" i="3"/>
  <c r="P29" i="3"/>
  <c r="K4" i="3"/>
  <c r="P24" i="3"/>
  <c r="K23" i="3"/>
  <c r="R29" i="3"/>
  <c r="R22" i="3"/>
  <c r="P22" i="3"/>
  <c r="R21" i="3"/>
  <c r="R17" i="3"/>
  <c r="R12" i="3"/>
  <c r="P11" i="3"/>
  <c r="R10" i="3"/>
  <c r="P12" i="3"/>
  <c r="R11" i="3"/>
  <c r="P21" i="3"/>
  <c r="P16" i="3"/>
  <c r="P10" i="3"/>
  <c r="K7" i="3"/>
  <c r="K22" i="3"/>
  <c r="M22" i="3"/>
  <c r="K20" i="3"/>
  <c r="K21" i="3"/>
  <c r="K27" i="3"/>
  <c r="M27" i="3"/>
  <c r="K15" i="3"/>
  <c r="K33" i="3"/>
  <c r="K4" i="2"/>
  <c r="K11" i="2"/>
  <c r="K15" i="2"/>
  <c r="K16" i="2" s="1"/>
  <c r="K17" i="3"/>
  <c r="M17" i="3"/>
  <c r="R24" i="3"/>
  <c r="K11" i="3"/>
  <c r="M11" i="3"/>
  <c r="K25" i="2"/>
  <c r="M21" i="3"/>
  <c r="K24" i="3"/>
  <c r="K26" i="3"/>
  <c r="M26" i="3"/>
  <c r="K10" i="3"/>
  <c r="K12" i="3"/>
  <c r="M12" i="3"/>
  <c r="K16" i="3"/>
  <c r="M16" i="3"/>
  <c r="K32" i="3"/>
  <c r="M32" i="3"/>
  <c r="M10" i="3"/>
  <c r="K30" i="3"/>
  <c r="M30" i="3"/>
  <c r="M17" i="1" l="1"/>
  <c r="K18" i="2"/>
  <c r="M18" i="2" s="1"/>
  <c r="K12" i="2"/>
  <c r="M12" i="2" s="1"/>
  <c r="K9" i="2"/>
  <c r="K19" i="2"/>
  <c r="M19" i="2" s="1"/>
  <c r="K12" i="1"/>
  <c r="K13" i="1" s="1"/>
  <c r="M13" i="1" s="1"/>
  <c r="K9" i="1"/>
  <c r="M9" i="2" l="1"/>
  <c r="K14" i="2"/>
  <c r="M9" i="1"/>
  <c r="K18" i="1"/>
  <c r="K14" i="1"/>
  <c r="H43" i="1"/>
  <c r="K19" i="1" s="1"/>
  <c r="M19" i="1" s="1"/>
  <c r="K24" i="2" l="1"/>
  <c r="M24" i="2" s="1"/>
  <c r="K22" i="2"/>
  <c r="M22" i="2" s="1"/>
  <c r="M14" i="2"/>
  <c r="K22" i="1"/>
  <c r="M22" i="1" s="1"/>
  <c r="M14" i="1"/>
  <c r="K23" i="1"/>
  <c r="M23" i="1" s="1"/>
  <c r="M18" i="1"/>
</calcChain>
</file>

<file path=xl/sharedStrings.xml><?xml version="1.0" encoding="utf-8"?>
<sst xmlns="http://schemas.openxmlformats.org/spreadsheetml/2006/main" count="167" uniqueCount="93">
  <si>
    <t>Birthdays after 01.04.23 Hourly Annual Leave allowance</t>
  </si>
  <si>
    <t>Long Term Sickness Annual Leave Formula</t>
  </si>
  <si>
    <t>Days Leave</t>
  </si>
  <si>
    <t xml:space="preserve">Average Weekly Contracted Hours  </t>
  </si>
  <si>
    <t>&lt; 5 years service Annual Leave Hours</t>
  </si>
  <si>
    <t xml:space="preserve">Maximum Number  of hours at weekends </t>
  </si>
  <si>
    <t>&gt;5 and &lt;10 years service Annual Leave Hours</t>
  </si>
  <si>
    <t>&gt;10 years service Annual Leave Hours</t>
  </si>
  <si>
    <t>Bank Holiday Hours Allowance</t>
  </si>
  <si>
    <t>Enter date of last Birthday  (dd/mm/yyyy)    e.g. if born on 30th June ****</t>
  </si>
  <si>
    <t>Enter first day of sickness (dd/mm/yyyy)</t>
  </si>
  <si>
    <t>Number of days in Calendar period from birthday to 1st day of sickness + 28 days</t>
  </si>
  <si>
    <t>Enter average weekly contracted hours</t>
  </si>
  <si>
    <t>Enter average number of days per week contracted to work</t>
  </si>
  <si>
    <t>Average daily contracted hours</t>
  </si>
  <si>
    <t>Enter hours leave entitlement for size of contract (from single status annual leave chart)</t>
  </si>
  <si>
    <t>Pro Rata Hours Contractual Annual leave due</t>
  </si>
  <si>
    <t>Enter date returned to work (dd/mm/yyyy)  or termination date from Authority  if sooner</t>
  </si>
  <si>
    <t>Enter number of bank holidays during period of long term sickness</t>
  </si>
  <si>
    <t>Number of days in Calendar period for Statutory Annual Leave</t>
  </si>
  <si>
    <t>Pro Rata Hours Statutory Annual leave due</t>
  </si>
  <si>
    <t>Total Annual Leave allowance for combined contractual hours if terminated</t>
  </si>
  <si>
    <t xml:space="preserve">Date of next birthday </t>
  </si>
  <si>
    <t>Number of days in Calendar period from RTW to day before birthday</t>
  </si>
  <si>
    <t>Pro Rata Hours Annual leave up day before birthday</t>
  </si>
  <si>
    <t>Total Annual Leave allowance for combined contractual hours if returning to work</t>
  </si>
  <si>
    <t>Statutory Leave Only Days Accrued to termination date (for leave not taken)</t>
  </si>
  <si>
    <t>Where there is a negative leave amount these days should be deducted from final salary payment</t>
  </si>
  <si>
    <t>Enter number of leave day taken since birthday prior to LTS</t>
  </si>
  <si>
    <t>Annual Leave hours remaining up to termination date from Authority</t>
  </si>
  <si>
    <t>A</t>
  </si>
  <si>
    <t>Balance of annual leave hours remaining until birthday</t>
  </si>
  <si>
    <t>B</t>
  </si>
  <si>
    <t>Please deduct these hours from Bank Holiday Allowance on return to work</t>
  </si>
  <si>
    <t>* Please complete yellow boxes only</t>
  </si>
  <si>
    <t>&gt; Leave entitlement will be shown in pink box on completion of yellow fields</t>
  </si>
  <si>
    <t>!! These figures will not account for any annual leave carried forward from previous leave year and will need to be added manually at the end</t>
  </si>
  <si>
    <t>Please find the guidance notes on how to adjust and employees leave entitlement in MyView here:  &lt;http://intranet/our-people/hr/resourcelink-myview/&gt;</t>
  </si>
  <si>
    <t>Annual stat</t>
  </si>
  <si>
    <t>pro rata stat</t>
  </si>
  <si>
    <t xml:space="preserve">Enter date of Birthday before sickness commenced (dd/mm/yyyy)  </t>
  </si>
  <si>
    <t>Pro Rata Hours Contractual Annual Leave Year 1</t>
  </si>
  <si>
    <t xml:space="preserve">Enter date returned to work (dd/mm/yyyy)  or termination date  </t>
  </si>
  <si>
    <t>Number of days in year 2 calendar period for Statutory Annual Leave</t>
  </si>
  <si>
    <t>Pro Rata Hours Statutory Annual leave due Year 1</t>
  </si>
  <si>
    <t xml:space="preserve">Enter number of annual leave days taken during Leave Year 1 </t>
  </si>
  <si>
    <t>Carry over of Leave from Year 1 (maximum of 28 days pro rata or negative if too many taken)</t>
  </si>
  <si>
    <t>*</t>
  </si>
  <si>
    <t>Enter number of bank holidays during period of long term sickness in year 2</t>
  </si>
  <si>
    <t>Pro Rata  Contractual Hours Annual leave up to day before birthday at end of Year 2</t>
  </si>
  <si>
    <t>Statutory Leave Hours accrued Year 2</t>
  </si>
  <si>
    <t>Where there is a negative leave amount these hours/days should be deducted from final salary payment</t>
  </si>
  <si>
    <t>Enter number of annual leave days taken during Leave Year 2</t>
  </si>
  <si>
    <t>Total Annual Leave Hours remaining up to termination date from Authority</t>
  </si>
  <si>
    <t>Total Balance of hours leave remaining until birthday at end of Year 2 (Year 1 + Year2)</t>
  </si>
  <si>
    <t>* Maximum of 28 day statutory leave Based on 20 days annual leave plus 8 bank holidays included (pro rata)</t>
  </si>
  <si>
    <t>!! These figures will not account for any annual leave carried forward from previous leave year  or Bank Holidays taken / paid in year 1 and will need to be added manually at the end</t>
  </si>
  <si>
    <t>Single Status Hourly Annual Leave allowance</t>
  </si>
  <si>
    <t xml:space="preserve">Enter date returned to work (dd/mm/yyyy)  </t>
  </si>
  <si>
    <t>Pro Rata Hours Contractual Annual Leave Year 1 (Birthday to FDoS + 28 days)</t>
  </si>
  <si>
    <t>1st period</t>
  </si>
  <si>
    <t>from</t>
  </si>
  <si>
    <t>to</t>
  </si>
  <si>
    <t>Pro Rata Hours Statutory Annual Leave Year 1</t>
  </si>
  <si>
    <t>(following birthday)</t>
  </si>
  <si>
    <t>Pro Rata Hours Statutory Annual Leave Year 2 up to RTW date</t>
  </si>
  <si>
    <t>1st Period</t>
  </si>
  <si>
    <t>Enter first day of second period of Long Term sickness (dd/mm/yyyy)</t>
  </si>
  <si>
    <t>Number of days in Calendar period from RTW date to 1st day of sickness + 28 days</t>
  </si>
  <si>
    <t>Pro Rata Hours Contractual Annual Leave Year 2 (RTW to FDoS + 28 days)</t>
  </si>
  <si>
    <t>2nd period</t>
  </si>
  <si>
    <t>Pro Rata Hours Statutory Annual leave Year 2  (RTW - Fdos -28 days)</t>
  </si>
  <si>
    <t>Enter first day of third period of Long Term sickness (dd/mm/yyyy)</t>
  </si>
  <si>
    <t xml:space="preserve">Enter date returned to work  or termination date from Authority (dd/mm/yyyy)  </t>
  </si>
  <si>
    <t>Pro Rata Hours Contractual Annual Leave  Year 2</t>
  </si>
  <si>
    <t>3rd period</t>
  </si>
  <si>
    <t>Pro Rata Hours Statutory Annual leave due Year 2</t>
  </si>
  <si>
    <t xml:space="preserve">Date of next Birthday (dd/mm/yyyy)  </t>
  </si>
  <si>
    <t>RTW to birthday</t>
  </si>
  <si>
    <t xml:space="preserve">from </t>
  </si>
  <si>
    <t>Enter number of annual leave days taken during Leave Year 1 and Leave Year 2</t>
  </si>
  <si>
    <t>Annual leave taken</t>
  </si>
  <si>
    <t>Should contractual apply for all 3?</t>
  </si>
  <si>
    <t>Total Balance of hours leave remaining until birthday at end of Year 2</t>
  </si>
  <si>
    <t xml:space="preserve">!! These figures will not account for any annual leave carried forward from previous leave </t>
  </si>
  <si>
    <t>year and will need to be added manually at the end</t>
  </si>
  <si>
    <t>Statutory Notice for Sickness Dismissal Formula</t>
  </si>
  <si>
    <t xml:space="preserve">Enter date of notice being issued </t>
  </si>
  <si>
    <t>Enter number of weeks leave (1 week for each full year of completed service - to Max of 12 weeks)</t>
  </si>
  <si>
    <t>Employee Termination date from Authority</t>
  </si>
  <si>
    <t>Number of minutes</t>
  </si>
  <si>
    <t>Decimal amount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</si>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</sst>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20CD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A44A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1" fillId="2" borderId="1" xfId="0" applyFont="1" applyFill="1" applyBorder="1" applyAlignment="1">
      <alignment horizontal="left"/>
    </xf>
    <xf numFmtId="14" fontId="0" fillId="3" borderId="2" xfId="0" applyNumberFormat="1" applyFill="1" applyBorder="1"/>
    <xf numFmtId="0" fontId="0" fillId="0" borderId="1" xfId="0" applyBorder="1"/>
    <xf numFmtId="0" fontId="0" fillId="4" borderId="2" xfId="0" applyFill="1" applyBorder="1"/>
    <xf numFmtId="0" fontId="1" fillId="2" borderId="1" xfId="0" applyFont="1" applyFill="1" applyBorder="1"/>
    <xf numFmtId="0" fontId="0" fillId="3" borderId="2" xfId="0" applyFill="1" applyBorder="1"/>
    <xf numFmtId="0" fontId="0" fillId="3" borderId="0" xfId="0" applyFill="1"/>
    <xf numFmtId="0" fontId="0" fillId="5" borderId="0" xfId="0" applyFill="1"/>
    <xf numFmtId="0" fontId="0" fillId="6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2" fontId="0" fillId="0" borderId="6" xfId="0" applyNumberFormat="1" applyBorder="1" applyAlignment="1">
      <alignment horizontal="center"/>
    </xf>
    <xf numFmtId="2" fontId="0" fillId="7" borderId="7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/>
    <xf numFmtId="0" fontId="1" fillId="2" borderId="9" xfId="0" applyFont="1" applyFill="1" applyBorder="1"/>
    <xf numFmtId="0" fontId="0" fillId="3" borderId="10" xfId="0" applyFill="1" applyBorder="1"/>
    <xf numFmtId="0" fontId="2" fillId="0" borderId="0" xfId="0" applyFont="1"/>
    <xf numFmtId="0" fontId="3" fillId="0" borderId="0" xfId="0" applyFont="1"/>
    <xf numFmtId="0" fontId="1" fillId="9" borderId="11" xfId="0" applyFont="1" applyFill="1" applyBorder="1"/>
    <xf numFmtId="2" fontId="1" fillId="9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5" borderId="11" xfId="0" applyFont="1" applyFill="1" applyBorder="1"/>
    <xf numFmtId="2" fontId="1" fillId="5" borderId="12" xfId="0" applyNumberFormat="1" applyFont="1" applyFill="1" applyBorder="1"/>
    <xf numFmtId="0" fontId="0" fillId="0" borderId="0" xfId="0" applyAlignment="1">
      <alignment horizontal="right"/>
    </xf>
    <xf numFmtId="0" fontId="1" fillId="0" borderId="11" xfId="0" applyFont="1" applyBorder="1"/>
    <xf numFmtId="0" fontId="1" fillId="10" borderId="0" xfId="0" applyFont="1" applyFill="1"/>
    <xf numFmtId="0" fontId="0" fillId="10" borderId="0" xfId="0" applyFill="1"/>
    <xf numFmtId="0" fontId="1" fillId="4" borderId="11" xfId="0" applyFont="1" applyFill="1" applyBorder="1"/>
    <xf numFmtId="2" fontId="0" fillId="4" borderId="2" xfId="0" applyNumberFormat="1" applyFill="1" applyBorder="1"/>
    <xf numFmtId="2" fontId="1" fillId="0" borderId="12" xfId="0" applyNumberFormat="1" applyFont="1" applyBorder="1"/>
    <xf numFmtId="2" fontId="0" fillId="5" borderId="15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1" fillId="4" borderId="1" xfId="0" applyFont="1" applyFill="1" applyBorder="1"/>
    <xf numFmtId="2" fontId="1" fillId="4" borderId="2" xfId="0" applyNumberFormat="1" applyFont="1" applyFill="1" applyBorder="1"/>
    <xf numFmtId="2" fontId="1" fillId="4" borderId="12" xfId="0" applyNumberFormat="1" applyFont="1" applyFill="1" applyBorder="1"/>
    <xf numFmtId="14" fontId="0" fillId="0" borderId="0" xfId="0" applyNumberFormat="1"/>
    <xf numFmtId="14" fontId="0" fillId="11" borderId="2" xfId="0" applyNumberFormat="1" applyFill="1" applyBorder="1"/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/>
    <xf numFmtId="0" fontId="5" fillId="0" borderId="1" xfId="0" applyFont="1" applyBorder="1"/>
    <xf numFmtId="0" fontId="5" fillId="14" borderId="16" xfId="0" applyFont="1" applyFill="1" applyBorder="1"/>
    <xf numFmtId="0" fontId="5" fillId="15" borderId="11" xfId="0" applyFont="1" applyFill="1" applyBorder="1"/>
    <xf numFmtId="0" fontId="5" fillId="16" borderId="0" xfId="0" applyFont="1" applyFill="1"/>
    <xf numFmtId="0" fontId="5" fillId="13" borderId="9" xfId="0" applyFont="1" applyFill="1" applyBorder="1"/>
    <xf numFmtId="0" fontId="5" fillId="14" borderId="11" xfId="0" applyFont="1" applyFill="1" applyBorder="1"/>
    <xf numFmtId="0" fontId="5" fillId="16" borderId="11" xfId="0" applyFont="1" applyFill="1" applyBorder="1"/>
    <xf numFmtId="0" fontId="0" fillId="17" borderId="0" xfId="0" applyFill="1"/>
    <xf numFmtId="0" fontId="0" fillId="18" borderId="0" xfId="0" applyFill="1"/>
    <xf numFmtId="0" fontId="0" fillId="15" borderId="0" xfId="0" applyFill="1"/>
    <xf numFmtId="14" fontId="0" fillId="22" borderId="2" xfId="0" applyNumberFormat="1" applyFill="1" applyBorder="1"/>
    <xf numFmtId="0" fontId="0" fillId="23" borderId="17" xfId="0" applyFill="1" applyBorder="1" applyAlignment="1">
      <alignment horizontal="center"/>
    </xf>
    <xf numFmtId="0" fontId="0" fillId="23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23" borderId="3" xfId="0" applyFill="1" applyBorder="1" applyAlignment="1">
      <alignment horizontal="center" wrapText="1"/>
    </xf>
    <xf numFmtId="0" fontId="0" fillId="23" borderId="4" xfId="0" applyFill="1" applyBorder="1" applyAlignment="1">
      <alignment horizontal="center" wrapText="1"/>
    </xf>
    <xf numFmtId="0" fontId="0" fillId="23" borderId="5" xfId="0" applyFill="1" applyBorder="1" applyAlignment="1">
      <alignment horizontal="center" wrapText="1"/>
    </xf>
    <xf numFmtId="2" fontId="0" fillId="24" borderId="7" xfId="0" applyNumberFormat="1" applyFill="1" applyBorder="1" applyAlignment="1">
      <alignment horizontal="center"/>
    </xf>
    <xf numFmtId="2" fontId="0" fillId="25" borderId="7" xfId="0" applyNumberFormat="1" applyFill="1" applyBorder="1" applyAlignment="1">
      <alignment horizontal="center"/>
    </xf>
    <xf numFmtId="2" fontId="0" fillId="13" borderId="7" xfId="0" applyNumberFormat="1" applyFill="1" applyBorder="1" applyAlignment="1">
      <alignment horizontal="center"/>
    </xf>
    <xf numFmtId="164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10" borderId="0" xfId="0" applyFill="1" applyProtection="1">
      <protection locked="0"/>
    </xf>
    <xf numFmtId="2" fontId="0" fillId="5" borderId="2" xfId="0" applyNumberFormat="1" applyFill="1" applyBorder="1"/>
    <xf numFmtId="2" fontId="0" fillId="5" borderId="12" xfId="0" applyNumberFormat="1" applyFill="1" applyBorder="1"/>
    <xf numFmtId="164" fontId="0" fillId="4" borderId="2" xfId="0" applyNumberFormat="1" applyFill="1" applyBorder="1"/>
    <xf numFmtId="2" fontId="0" fillId="4" borderId="12" xfId="0" applyNumberFormat="1" applyFill="1" applyBorder="1"/>
    <xf numFmtId="2" fontId="0" fillId="0" borderId="15" xfId="0" applyNumberFormat="1" applyBorder="1" applyAlignment="1">
      <alignment horizontal="center"/>
    </xf>
    <xf numFmtId="2" fontId="1" fillId="10" borderId="12" xfId="0" applyNumberFormat="1" applyFont="1" applyFill="1" applyBorder="1"/>
    <xf numFmtId="2" fontId="0" fillId="15" borderId="0" xfId="0" applyNumberFormat="1" applyFill="1"/>
    <xf numFmtId="0" fontId="0" fillId="0" borderId="0" xfId="0" applyProtection="1"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23" borderId="3" xfId="0" applyFill="1" applyBorder="1" applyAlignment="1" applyProtection="1">
      <alignment horizontal="center" wrapText="1"/>
      <protection locked="0"/>
    </xf>
    <xf numFmtId="0" fontId="0" fillId="23" borderId="4" xfId="0" applyFill="1" applyBorder="1" applyAlignment="1" applyProtection="1">
      <alignment horizontal="center" wrapText="1"/>
      <protection locked="0"/>
    </xf>
    <xf numFmtId="0" fontId="0" fillId="23" borderId="5" xfId="0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24" borderId="7" xfId="0" applyNumberFormat="1" applyFill="1" applyBorder="1" applyAlignment="1" applyProtection="1">
      <alignment horizontal="center"/>
      <protection locked="0"/>
    </xf>
    <xf numFmtId="2" fontId="0" fillId="25" borderId="7" xfId="0" applyNumberFormat="1" applyFill="1" applyBorder="1" applyAlignment="1" applyProtection="1">
      <alignment horizontal="center"/>
      <protection locked="0"/>
    </xf>
    <xf numFmtId="2" fontId="0" fillId="13" borderId="7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1" borderId="1" xfId="0" applyFont="1" applyFill="1" applyBorder="1" applyProtection="1"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1" fillId="2" borderId="9" xfId="0" applyFont="1" applyFill="1" applyBorder="1" applyProtection="1">
      <protection locked="0"/>
    </xf>
    <xf numFmtId="0" fontId="1" fillId="21" borderId="11" xfId="0" applyFont="1" applyFill="1" applyBorder="1" applyProtection="1">
      <protection locked="0"/>
    </xf>
    <xf numFmtId="0" fontId="1" fillId="10" borderId="0" xfId="0" applyFont="1" applyFill="1" applyProtection="1">
      <protection locked="0"/>
    </xf>
    <xf numFmtId="0" fontId="1" fillId="20" borderId="11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0" fontId="1" fillId="9" borderId="11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20" borderId="0" xfId="0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0" fillId="21" borderId="2" xfId="0" applyFill="1" applyBorder="1"/>
    <xf numFmtId="2" fontId="0" fillId="21" borderId="2" xfId="0" applyNumberFormat="1" applyFill="1" applyBorder="1"/>
    <xf numFmtId="2" fontId="1" fillId="21" borderId="2" xfId="0" applyNumberFormat="1" applyFont="1" applyFill="1" applyBorder="1"/>
    <xf numFmtId="2" fontId="0" fillId="19" borderId="14" xfId="0" applyNumberFormat="1" applyFill="1" applyBorder="1" applyAlignment="1">
      <alignment horizontal="center"/>
    </xf>
    <xf numFmtId="164" fontId="0" fillId="21" borderId="2" xfId="0" applyNumberFormat="1" applyFill="1" applyBorder="1"/>
    <xf numFmtId="2" fontId="1" fillId="21" borderId="12" xfId="0" applyNumberFormat="1" applyFont="1" applyFill="1" applyBorder="1"/>
    <xf numFmtId="2" fontId="1" fillId="20" borderId="12" xfId="0" applyNumberFormat="1" applyFont="1" applyFill="1" applyBorder="1"/>
    <xf numFmtId="2" fontId="0" fillId="20" borderId="14" xfId="0" applyNumberFormat="1" applyFill="1" applyBorder="1" applyAlignment="1">
      <alignment horizontal="center"/>
    </xf>
    <xf numFmtId="2" fontId="0" fillId="20" borderId="15" xfId="0" applyNumberForma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5" fillId="23" borderId="23" xfId="0" applyFont="1" applyFill="1" applyBorder="1" applyAlignment="1">
      <alignment horizontal="center"/>
    </xf>
    <xf numFmtId="0" fontId="5" fillId="23" borderId="24" xfId="0" applyFont="1" applyFill="1" applyBorder="1" applyAlignment="1">
      <alignment horizontal="center"/>
    </xf>
    <xf numFmtId="0" fontId="5" fillId="23" borderId="25" xfId="0" applyFont="1" applyFill="1" applyBorder="1" applyAlignment="1">
      <alignment horizontal="center"/>
    </xf>
    <xf numFmtId="0" fontId="6" fillId="0" borderId="0" xfId="1" applyAlignment="1">
      <alignment horizontal="left"/>
    </xf>
    <xf numFmtId="0" fontId="0" fillId="0" borderId="0" xfId="0" applyAlignment="1">
      <alignment horizontal="left"/>
    </xf>
    <xf numFmtId="0" fontId="1" fillId="12" borderId="26" xfId="0" applyFont="1" applyFill="1" applyBorder="1" applyAlignment="1" applyProtection="1">
      <alignment horizontal="center"/>
      <protection locked="0"/>
    </xf>
    <xf numFmtId="0" fontId="1" fillId="12" borderId="27" xfId="0" applyFont="1" applyFill="1" applyBorder="1" applyAlignment="1" applyProtection="1">
      <alignment horizontal="center"/>
      <protection locked="0"/>
    </xf>
    <xf numFmtId="0" fontId="5" fillId="23" borderId="23" xfId="0" applyFont="1" applyFill="1" applyBorder="1" applyAlignment="1" applyProtection="1">
      <alignment horizontal="center"/>
      <protection locked="0"/>
    </xf>
    <xf numFmtId="0" fontId="5" fillId="23" borderId="24" xfId="0" applyFont="1" applyFill="1" applyBorder="1" applyAlignment="1" applyProtection="1">
      <alignment horizontal="center"/>
      <protection locked="0"/>
    </xf>
    <xf numFmtId="0" fontId="5" fillId="23" borderId="25" xfId="0" applyFont="1" applyFill="1" applyBorder="1" applyAlignment="1" applyProtection="1">
      <alignment horizontal="center"/>
      <protection locked="0"/>
    </xf>
    <xf numFmtId="0" fontId="6" fillId="0" borderId="0" xfId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/our-people/hr/resourcelink-myview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ranet/our-people/hr/resourcelink-myvie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opLeftCell="C1" workbookViewId="0">
      <selection activeCell="K24" sqref="K24"/>
    </sheetView>
  </sheetViews>
  <sheetFormatPr defaultRowHeight="15" x14ac:dyDescent="0.25"/>
  <cols>
    <col min="1" max="1" width="11.5703125" customWidth="1"/>
    <col min="2" max="2" width="11.7109375" customWidth="1"/>
    <col min="3" max="3" width="12.140625" customWidth="1"/>
    <col min="4" max="4" width="12" customWidth="1"/>
    <col min="5" max="5" width="11" customWidth="1"/>
    <col min="6" max="6" width="14.42578125" customWidth="1"/>
    <col min="7" max="7" width="10.5703125" customWidth="1"/>
    <col min="8" max="8" width="10.85546875" customWidth="1"/>
    <col min="10" max="10" width="80.85546875" bestFit="1" customWidth="1"/>
    <col min="11" max="11" width="13.140625" customWidth="1"/>
    <col min="12" max="12" width="2.28515625" bestFit="1" customWidth="1"/>
    <col min="13" max="13" width="10.7109375" style="29" bestFit="1" customWidth="1"/>
  </cols>
  <sheetData>
    <row r="1" spans="1:15" x14ac:dyDescent="0.25">
      <c r="A1" s="126" t="s">
        <v>0</v>
      </c>
      <c r="B1" s="127"/>
      <c r="C1" s="127"/>
      <c r="D1" s="127"/>
      <c r="E1" s="127"/>
      <c r="F1" s="127"/>
      <c r="G1" s="127"/>
      <c r="H1" s="128"/>
      <c r="J1" s="124" t="s">
        <v>1</v>
      </c>
      <c r="K1" s="125"/>
      <c r="M1" s="26" t="s">
        <v>2</v>
      </c>
    </row>
    <row r="2" spans="1:15" ht="75" x14ac:dyDescent="0.25">
      <c r="A2" s="65" t="s">
        <v>3</v>
      </c>
      <c r="B2" s="65" t="s">
        <v>4</v>
      </c>
      <c r="C2" s="65" t="s">
        <v>5</v>
      </c>
      <c r="D2" s="65" t="s">
        <v>6</v>
      </c>
      <c r="E2" s="65" t="s">
        <v>5</v>
      </c>
      <c r="F2" s="66" t="s">
        <v>7</v>
      </c>
      <c r="G2" s="65" t="s">
        <v>5</v>
      </c>
      <c r="H2" s="67" t="s">
        <v>8</v>
      </c>
      <c r="J2" s="1" t="s">
        <v>9</v>
      </c>
      <c r="K2" s="71">
        <v>44999</v>
      </c>
      <c r="M2" s="27"/>
    </row>
    <row r="3" spans="1:15" x14ac:dyDescent="0.25">
      <c r="A3" s="12">
        <v>1</v>
      </c>
      <c r="B3" s="68">
        <f t="shared" ref="B3:B38" si="0">SUM((A3*27)/5)</f>
        <v>5.4</v>
      </c>
      <c r="C3" s="68">
        <v>2</v>
      </c>
      <c r="D3" s="69">
        <f t="shared" ref="D3:D38" si="1">SUM((A3*32)/5)</f>
        <v>6.4</v>
      </c>
      <c r="E3" s="69">
        <v>2.4</v>
      </c>
      <c r="F3" s="70">
        <f t="shared" ref="F3:F39" si="2">SUM((A3*35)/5)</f>
        <v>7</v>
      </c>
      <c r="G3" s="70">
        <v>2.6</v>
      </c>
      <c r="H3" s="16">
        <v>1.6</v>
      </c>
      <c r="J3" s="46" t="s">
        <v>10</v>
      </c>
      <c r="K3" s="71">
        <v>45036</v>
      </c>
      <c r="M3" s="27"/>
    </row>
    <row r="4" spans="1:15" x14ac:dyDescent="0.25">
      <c r="A4" s="17">
        <v>2</v>
      </c>
      <c r="B4" s="68">
        <f t="shared" si="0"/>
        <v>10.8</v>
      </c>
      <c r="C4" s="68">
        <v>4</v>
      </c>
      <c r="D4" s="69">
        <f t="shared" si="1"/>
        <v>12.8</v>
      </c>
      <c r="E4" s="69">
        <v>4.8</v>
      </c>
      <c r="F4" s="70">
        <f t="shared" si="2"/>
        <v>14</v>
      </c>
      <c r="G4" s="70">
        <v>5.2</v>
      </c>
      <c r="H4" s="16">
        <v>3.2</v>
      </c>
      <c r="J4" s="3" t="s">
        <v>11</v>
      </c>
      <c r="K4" s="4">
        <f>SUM((K3-K2)+28)</f>
        <v>65</v>
      </c>
      <c r="M4" s="27"/>
    </row>
    <row r="5" spans="1:15" x14ac:dyDescent="0.25">
      <c r="A5" s="17">
        <v>3</v>
      </c>
      <c r="B5" s="68">
        <f t="shared" si="0"/>
        <v>16.2</v>
      </c>
      <c r="C5" s="68">
        <v>6</v>
      </c>
      <c r="D5" s="69">
        <f t="shared" si="1"/>
        <v>19.2</v>
      </c>
      <c r="E5" s="69">
        <v>7.2</v>
      </c>
      <c r="F5" s="70">
        <f t="shared" si="2"/>
        <v>21</v>
      </c>
      <c r="G5" s="70">
        <v>7.8</v>
      </c>
      <c r="H5" s="16">
        <v>4.8</v>
      </c>
      <c r="J5" s="47" t="s">
        <v>12</v>
      </c>
      <c r="K5" s="72">
        <v>37</v>
      </c>
      <c r="M5" s="27"/>
    </row>
    <row r="6" spans="1:15" x14ac:dyDescent="0.25">
      <c r="A6" s="17">
        <v>4</v>
      </c>
      <c r="B6" s="68">
        <f t="shared" si="0"/>
        <v>21.6</v>
      </c>
      <c r="C6" s="68">
        <v>8</v>
      </c>
      <c r="D6" s="69">
        <f t="shared" si="1"/>
        <v>25.6</v>
      </c>
      <c r="E6" s="69">
        <v>9.6</v>
      </c>
      <c r="F6" s="70">
        <f t="shared" si="2"/>
        <v>28</v>
      </c>
      <c r="G6" s="70">
        <v>10.4</v>
      </c>
      <c r="H6" s="16">
        <v>6.4</v>
      </c>
      <c r="J6" s="47" t="s">
        <v>13</v>
      </c>
      <c r="K6" s="72">
        <v>5</v>
      </c>
      <c r="M6" s="27"/>
    </row>
    <row r="7" spans="1:15" x14ac:dyDescent="0.25">
      <c r="A7" s="17">
        <v>5</v>
      </c>
      <c r="B7" s="68">
        <f t="shared" si="0"/>
        <v>27</v>
      </c>
      <c r="C7" s="68">
        <v>10</v>
      </c>
      <c r="D7" s="69">
        <f t="shared" si="1"/>
        <v>32</v>
      </c>
      <c r="E7" s="69">
        <v>12</v>
      </c>
      <c r="F7" s="70">
        <f t="shared" si="2"/>
        <v>35</v>
      </c>
      <c r="G7" s="70">
        <v>13</v>
      </c>
      <c r="H7" s="16">
        <v>8</v>
      </c>
      <c r="J7" s="3" t="s">
        <v>14</v>
      </c>
      <c r="K7" s="37">
        <f>SUM(K5/K6)</f>
        <v>7.4</v>
      </c>
      <c r="M7" s="27"/>
    </row>
    <row r="8" spans="1:15" x14ac:dyDescent="0.25">
      <c r="A8" s="17">
        <v>6</v>
      </c>
      <c r="B8" s="68">
        <f t="shared" si="0"/>
        <v>32.4</v>
      </c>
      <c r="C8" s="68">
        <v>12</v>
      </c>
      <c r="D8" s="69">
        <f t="shared" si="1"/>
        <v>38.4</v>
      </c>
      <c r="E8" s="69">
        <v>14.4</v>
      </c>
      <c r="F8" s="70">
        <f t="shared" si="2"/>
        <v>42</v>
      </c>
      <c r="G8" s="70">
        <v>15.6</v>
      </c>
      <c r="H8" s="16">
        <v>9.6</v>
      </c>
      <c r="J8" s="47" t="s">
        <v>15</v>
      </c>
      <c r="K8" s="72">
        <v>259</v>
      </c>
      <c r="M8" s="27"/>
    </row>
    <row r="9" spans="1:15" x14ac:dyDescent="0.25">
      <c r="A9" s="17">
        <v>7</v>
      </c>
      <c r="B9" s="68">
        <f t="shared" si="0"/>
        <v>37.799999999999997</v>
      </c>
      <c r="C9" s="68">
        <v>14</v>
      </c>
      <c r="D9" s="69">
        <f t="shared" si="1"/>
        <v>44.8</v>
      </c>
      <c r="E9" s="69">
        <v>16.8</v>
      </c>
      <c r="F9" s="70">
        <f t="shared" si="2"/>
        <v>49</v>
      </c>
      <c r="G9" s="70">
        <v>18.2</v>
      </c>
      <c r="H9" s="16">
        <v>11.2</v>
      </c>
      <c r="J9" s="48" t="s">
        <v>16</v>
      </c>
      <c r="K9" s="75">
        <f>SUM((K4*K8)/365)</f>
        <v>46.123287671232873</v>
      </c>
      <c r="M9" s="28">
        <f>SUM(K9/K7)</f>
        <v>6.2328767123287667</v>
      </c>
      <c r="O9" s="19"/>
    </row>
    <row r="10" spans="1:15" ht="15.75" thickBot="1" x14ac:dyDescent="0.3">
      <c r="A10" s="17">
        <v>8</v>
      </c>
      <c r="B10" s="68">
        <f t="shared" si="0"/>
        <v>43.2</v>
      </c>
      <c r="C10" s="68">
        <v>16</v>
      </c>
      <c r="D10" s="69">
        <f t="shared" si="1"/>
        <v>51.2</v>
      </c>
      <c r="E10" s="69">
        <v>19.2</v>
      </c>
      <c r="F10" s="70">
        <f t="shared" si="2"/>
        <v>56</v>
      </c>
      <c r="G10" s="70">
        <v>20.8</v>
      </c>
      <c r="H10" s="16">
        <v>12.8</v>
      </c>
      <c r="J10" s="46" t="s">
        <v>17</v>
      </c>
      <c r="K10" s="71">
        <v>45211</v>
      </c>
      <c r="M10" s="27"/>
    </row>
    <row r="11" spans="1:15" x14ac:dyDescent="0.25">
      <c r="A11" s="17">
        <v>9</v>
      </c>
      <c r="B11" s="68">
        <f t="shared" si="0"/>
        <v>48.6</v>
      </c>
      <c r="C11" s="68">
        <v>18</v>
      </c>
      <c r="D11" s="69">
        <f t="shared" si="1"/>
        <v>57.6</v>
      </c>
      <c r="E11" s="69">
        <v>21.6</v>
      </c>
      <c r="F11" s="70">
        <f t="shared" si="2"/>
        <v>63</v>
      </c>
      <c r="G11" s="70">
        <v>23.4</v>
      </c>
      <c r="H11" s="16">
        <v>14.4</v>
      </c>
      <c r="J11" s="46" t="s">
        <v>18</v>
      </c>
      <c r="K11" s="73">
        <v>4</v>
      </c>
      <c r="M11" s="27"/>
    </row>
    <row r="12" spans="1:15" x14ac:dyDescent="0.25">
      <c r="A12" s="17">
        <v>10</v>
      </c>
      <c r="B12" s="68">
        <f t="shared" si="0"/>
        <v>54</v>
      </c>
      <c r="C12" s="68">
        <v>20</v>
      </c>
      <c r="D12" s="69">
        <f t="shared" si="1"/>
        <v>64</v>
      </c>
      <c r="E12" s="69">
        <v>24</v>
      </c>
      <c r="F12" s="70">
        <f t="shared" si="2"/>
        <v>70</v>
      </c>
      <c r="G12" s="70">
        <v>26</v>
      </c>
      <c r="H12" s="16">
        <v>16</v>
      </c>
      <c r="J12" s="3" t="s">
        <v>19</v>
      </c>
      <c r="K12" s="4">
        <f>SUM(((K10-K2)-K4))</f>
        <v>147</v>
      </c>
      <c r="M12" s="27"/>
    </row>
    <row r="13" spans="1:15" x14ac:dyDescent="0.25">
      <c r="A13" s="17">
        <v>11</v>
      </c>
      <c r="B13" s="68">
        <f t="shared" si="0"/>
        <v>59.4</v>
      </c>
      <c r="C13" s="68">
        <v>22</v>
      </c>
      <c r="D13" s="69">
        <f t="shared" si="1"/>
        <v>70.400000000000006</v>
      </c>
      <c r="E13" s="69">
        <v>26.4</v>
      </c>
      <c r="F13" s="70">
        <f t="shared" si="2"/>
        <v>77</v>
      </c>
      <c r="G13" s="70">
        <v>28.6</v>
      </c>
      <c r="H13" s="16">
        <v>17.600000000000001</v>
      </c>
      <c r="J13" s="48" t="s">
        <v>20</v>
      </c>
      <c r="K13" s="75">
        <f>SUM((((28/5)*K6*K12)/365)*K7)</f>
        <v>83.447671232876715</v>
      </c>
      <c r="M13" s="28">
        <f>SUM(K13/K7)</f>
        <v>11.276712328767124</v>
      </c>
    </row>
    <row r="14" spans="1:15" ht="15.75" thickBot="1" x14ac:dyDescent="0.3">
      <c r="A14" s="17">
        <v>12</v>
      </c>
      <c r="B14" s="68">
        <f t="shared" si="0"/>
        <v>64.8</v>
      </c>
      <c r="C14" s="68">
        <v>24</v>
      </c>
      <c r="D14" s="69">
        <f t="shared" si="1"/>
        <v>76.8</v>
      </c>
      <c r="E14" s="69">
        <v>28.8</v>
      </c>
      <c r="F14" s="70">
        <f t="shared" si="2"/>
        <v>84</v>
      </c>
      <c r="G14" s="70">
        <v>31.2</v>
      </c>
      <c r="H14" s="16">
        <v>19.2</v>
      </c>
      <c r="I14" s="32"/>
      <c r="J14" s="49" t="s">
        <v>21</v>
      </c>
      <c r="K14" s="76">
        <f>SUM(K9+K13)</f>
        <v>129.5709589041096</v>
      </c>
      <c r="M14" s="28">
        <f>SUM(K14/K7)</f>
        <v>17.509589041095893</v>
      </c>
    </row>
    <row r="15" spans="1:15" x14ac:dyDescent="0.25">
      <c r="A15" s="17">
        <v>13</v>
      </c>
      <c r="B15" s="68">
        <f t="shared" si="0"/>
        <v>70.2</v>
      </c>
      <c r="C15" s="68">
        <v>26</v>
      </c>
      <c r="D15" s="69">
        <f t="shared" si="1"/>
        <v>83.2</v>
      </c>
      <c r="E15" s="69">
        <v>31.2</v>
      </c>
      <c r="F15" s="70">
        <f t="shared" si="2"/>
        <v>91</v>
      </c>
      <c r="G15" s="70">
        <v>33.799999999999997</v>
      </c>
      <c r="H15" s="16">
        <v>20.8</v>
      </c>
      <c r="I15" s="32"/>
      <c r="J15" s="3" t="s">
        <v>22</v>
      </c>
      <c r="K15" s="77">
        <f>SUM(K2+365)</f>
        <v>45364</v>
      </c>
      <c r="M15" s="27"/>
    </row>
    <row r="16" spans="1:15" x14ac:dyDescent="0.25">
      <c r="A16" s="17">
        <v>14</v>
      </c>
      <c r="B16" s="68">
        <f t="shared" si="0"/>
        <v>75.599999999999994</v>
      </c>
      <c r="C16" s="68">
        <v>28</v>
      </c>
      <c r="D16" s="69">
        <f t="shared" si="1"/>
        <v>89.6</v>
      </c>
      <c r="E16" s="69">
        <v>33.6</v>
      </c>
      <c r="F16" s="70">
        <f t="shared" si="2"/>
        <v>98</v>
      </c>
      <c r="G16" s="70">
        <v>36.4</v>
      </c>
      <c r="H16" s="16">
        <v>22.4</v>
      </c>
      <c r="I16" s="32"/>
      <c r="J16" s="3" t="s">
        <v>23</v>
      </c>
      <c r="K16" s="4">
        <f>SUM(K15-K10)</f>
        <v>153</v>
      </c>
      <c r="M16" s="28"/>
    </row>
    <row r="17" spans="1:17" x14ac:dyDescent="0.25">
      <c r="A17" s="17">
        <v>15</v>
      </c>
      <c r="B17" s="68">
        <f t="shared" si="0"/>
        <v>81</v>
      </c>
      <c r="C17" s="68">
        <v>30</v>
      </c>
      <c r="D17" s="69">
        <f t="shared" si="1"/>
        <v>96</v>
      </c>
      <c r="E17" s="69">
        <v>36</v>
      </c>
      <c r="F17" s="70">
        <f t="shared" si="2"/>
        <v>105</v>
      </c>
      <c r="G17" s="70">
        <v>39</v>
      </c>
      <c r="H17" s="16">
        <v>24</v>
      </c>
      <c r="I17" s="32"/>
      <c r="J17" s="48" t="s">
        <v>24</v>
      </c>
      <c r="K17" s="75">
        <f>SUM((K16*K8)/365)</f>
        <v>108.56712328767124</v>
      </c>
      <c r="M17" s="28">
        <f>SUM(K17/K7)</f>
        <v>14.671232876712329</v>
      </c>
    </row>
    <row r="18" spans="1:17" ht="15.75" thickBot="1" x14ac:dyDescent="0.3">
      <c r="A18" s="17">
        <v>16</v>
      </c>
      <c r="B18" s="68">
        <f t="shared" si="0"/>
        <v>86.4</v>
      </c>
      <c r="C18" s="68">
        <v>32</v>
      </c>
      <c r="D18" s="69">
        <f t="shared" si="1"/>
        <v>102.4</v>
      </c>
      <c r="E18" s="69">
        <v>38.4</v>
      </c>
      <c r="F18" s="70">
        <f t="shared" si="2"/>
        <v>112</v>
      </c>
      <c r="G18" s="70">
        <v>41.6</v>
      </c>
      <c r="H18" s="16">
        <v>25.6</v>
      </c>
      <c r="I18" s="32"/>
      <c r="J18" s="49" t="s">
        <v>25</v>
      </c>
      <c r="K18" s="76">
        <f>SUM(K9+K13+K17)</f>
        <v>238.13808219178082</v>
      </c>
      <c r="M18" s="28">
        <f>SUM(K18/K7)</f>
        <v>32.180821917808217</v>
      </c>
    </row>
    <row r="19" spans="1:17" ht="15.75" thickBot="1" x14ac:dyDescent="0.3">
      <c r="A19" s="17">
        <v>17</v>
      </c>
      <c r="B19" s="68">
        <f t="shared" si="0"/>
        <v>91.8</v>
      </c>
      <c r="C19" s="68">
        <v>34</v>
      </c>
      <c r="D19" s="69">
        <f t="shared" si="1"/>
        <v>108.8</v>
      </c>
      <c r="E19" s="69">
        <v>40.799999999999997</v>
      </c>
      <c r="F19" s="70">
        <f t="shared" si="2"/>
        <v>119</v>
      </c>
      <c r="G19" s="70">
        <v>44.2</v>
      </c>
      <c r="H19" s="16">
        <v>27.2</v>
      </c>
      <c r="I19" s="32"/>
      <c r="J19" s="50" t="s">
        <v>26</v>
      </c>
      <c r="K19" s="78">
        <f>SUM((H43-K21)*K7)</f>
        <v>68.546301369863031</v>
      </c>
      <c r="M19" s="28">
        <f>SUM(K19/K7)</f>
        <v>9.2630136986301395</v>
      </c>
    </row>
    <row r="20" spans="1:17" ht="15.75" thickBot="1" x14ac:dyDescent="0.3">
      <c r="A20" s="17">
        <v>18</v>
      </c>
      <c r="B20" s="68">
        <f t="shared" si="0"/>
        <v>97.2</v>
      </c>
      <c r="C20" s="68">
        <v>36</v>
      </c>
      <c r="D20" s="69">
        <f t="shared" si="1"/>
        <v>115.2</v>
      </c>
      <c r="E20" s="69">
        <v>43.2</v>
      </c>
      <c r="F20" s="70">
        <f t="shared" si="2"/>
        <v>126</v>
      </c>
      <c r="G20" s="70">
        <v>46.8</v>
      </c>
      <c r="H20" s="16">
        <v>28.8</v>
      </c>
      <c r="I20" s="32"/>
      <c r="J20" s="51" t="s">
        <v>27</v>
      </c>
      <c r="K20" s="74"/>
      <c r="M20" s="27"/>
    </row>
    <row r="21" spans="1:17" x14ac:dyDescent="0.25">
      <c r="A21" s="17">
        <v>19</v>
      </c>
      <c r="B21" s="68">
        <f t="shared" si="0"/>
        <v>102.6</v>
      </c>
      <c r="C21" s="68">
        <v>38</v>
      </c>
      <c r="D21" s="69">
        <f t="shared" si="1"/>
        <v>121.6</v>
      </c>
      <c r="E21" s="69">
        <v>45.6</v>
      </c>
      <c r="F21" s="70">
        <f t="shared" si="2"/>
        <v>133</v>
      </c>
      <c r="G21" s="70">
        <v>49.4</v>
      </c>
      <c r="H21" s="16">
        <v>30.4</v>
      </c>
      <c r="I21" s="32"/>
      <c r="J21" s="52" t="s">
        <v>28</v>
      </c>
      <c r="K21" s="73">
        <v>7</v>
      </c>
      <c r="M21" s="27"/>
    </row>
    <row r="22" spans="1:17" ht="15.75" thickBot="1" x14ac:dyDescent="0.3">
      <c r="A22" s="17">
        <v>20</v>
      </c>
      <c r="B22" s="68">
        <f t="shared" si="0"/>
        <v>108</v>
      </c>
      <c r="C22" s="68">
        <v>40</v>
      </c>
      <c r="D22" s="69">
        <f t="shared" si="1"/>
        <v>128</v>
      </c>
      <c r="E22" s="69">
        <v>48</v>
      </c>
      <c r="F22" s="70">
        <f t="shared" si="2"/>
        <v>140</v>
      </c>
      <c r="G22" s="70">
        <v>52</v>
      </c>
      <c r="H22" s="16">
        <v>32</v>
      </c>
      <c r="I22" s="32"/>
      <c r="J22" s="53" t="s">
        <v>29</v>
      </c>
      <c r="K22" s="31">
        <f>IF((K21*K7)&gt;=K14,(K14-(K21*K7)),IF(K21&gt;=H43,(K14-(K21*K7)),IF(K21&lt;H43,((H43-K21)*K7),0)))</f>
        <v>68.546301369863031</v>
      </c>
      <c r="M22" s="28">
        <f>SUM(K22/K7)</f>
        <v>9.2630136986301395</v>
      </c>
    </row>
    <row r="23" spans="1:17" ht="15.75" thickBot="1" x14ac:dyDescent="0.3">
      <c r="A23" s="17">
        <v>21</v>
      </c>
      <c r="B23" s="68">
        <f t="shared" si="0"/>
        <v>113.4</v>
      </c>
      <c r="C23" s="68">
        <v>42</v>
      </c>
      <c r="D23" s="69">
        <f t="shared" si="1"/>
        <v>134.4</v>
      </c>
      <c r="E23" s="69">
        <v>50.4</v>
      </c>
      <c r="F23" s="70">
        <f t="shared" si="2"/>
        <v>147</v>
      </c>
      <c r="G23" s="70">
        <v>54.6</v>
      </c>
      <c r="H23" s="16">
        <v>33.6</v>
      </c>
      <c r="I23" s="32" t="s">
        <v>30</v>
      </c>
      <c r="J23" s="53" t="s">
        <v>31</v>
      </c>
      <c r="K23" s="31">
        <f>SUM(K18-(K21*K7))</f>
        <v>186.33808219178081</v>
      </c>
      <c r="M23" s="79">
        <f>SUM(K23/K7)</f>
        <v>25.180821917808217</v>
      </c>
    </row>
    <row r="24" spans="1:17" ht="15.75" thickBot="1" x14ac:dyDescent="0.3">
      <c r="A24" s="17">
        <v>22</v>
      </c>
      <c r="B24" s="68">
        <f t="shared" si="0"/>
        <v>118.8</v>
      </c>
      <c r="C24" s="68">
        <v>44</v>
      </c>
      <c r="D24" s="69">
        <f t="shared" si="1"/>
        <v>140.80000000000001</v>
      </c>
      <c r="E24" s="69">
        <v>52.8</v>
      </c>
      <c r="F24" s="70">
        <f t="shared" si="2"/>
        <v>154</v>
      </c>
      <c r="G24" s="70">
        <v>57.2</v>
      </c>
      <c r="H24" s="16">
        <v>35.200000000000003</v>
      </c>
      <c r="I24" s="32" t="s">
        <v>32</v>
      </c>
      <c r="J24" s="54" t="s">
        <v>33</v>
      </c>
      <c r="K24" s="80">
        <f>SUM(K11*K7)</f>
        <v>29.6</v>
      </c>
    </row>
    <row r="25" spans="1:17" x14ac:dyDescent="0.25">
      <c r="A25" s="17">
        <v>23</v>
      </c>
      <c r="B25" s="68">
        <f t="shared" si="0"/>
        <v>124.2</v>
      </c>
      <c r="C25" s="68">
        <v>46</v>
      </c>
      <c r="D25" s="69">
        <f t="shared" si="1"/>
        <v>147.19999999999999</v>
      </c>
      <c r="E25" s="69">
        <v>55.2</v>
      </c>
      <c r="F25" s="70">
        <f t="shared" si="2"/>
        <v>161</v>
      </c>
      <c r="G25" s="70">
        <v>59.8</v>
      </c>
      <c r="H25" s="16">
        <v>36.799999999999997</v>
      </c>
      <c r="I25" s="32"/>
    </row>
    <row r="26" spans="1:17" x14ac:dyDescent="0.25">
      <c r="A26" s="17">
        <v>24</v>
      </c>
      <c r="B26" s="68">
        <f t="shared" si="0"/>
        <v>129.6</v>
      </c>
      <c r="C26" s="68">
        <v>48</v>
      </c>
      <c r="D26" s="69">
        <f t="shared" si="1"/>
        <v>153.6</v>
      </c>
      <c r="E26" s="69">
        <v>57.6</v>
      </c>
      <c r="F26" s="70">
        <f t="shared" si="2"/>
        <v>168</v>
      </c>
      <c r="G26" s="70">
        <v>62.4</v>
      </c>
      <c r="H26" s="16">
        <v>38.4</v>
      </c>
      <c r="I26" s="32"/>
      <c r="J26" s="55" t="s">
        <v>34</v>
      </c>
    </row>
    <row r="27" spans="1:17" x14ac:dyDescent="0.25">
      <c r="A27" s="17">
        <v>25</v>
      </c>
      <c r="B27" s="68">
        <f t="shared" si="0"/>
        <v>135</v>
      </c>
      <c r="C27" s="68">
        <v>50</v>
      </c>
      <c r="D27" s="69">
        <f t="shared" si="1"/>
        <v>160</v>
      </c>
      <c r="E27" s="69">
        <v>60</v>
      </c>
      <c r="F27" s="70">
        <f t="shared" si="2"/>
        <v>175</v>
      </c>
      <c r="G27" s="70">
        <v>65</v>
      </c>
      <c r="H27" s="16">
        <v>40</v>
      </c>
      <c r="J27" s="56" t="s">
        <v>35</v>
      </c>
    </row>
    <row r="28" spans="1:17" x14ac:dyDescent="0.25">
      <c r="A28" s="17">
        <v>26</v>
      </c>
      <c r="B28" s="68">
        <f t="shared" si="0"/>
        <v>140.4</v>
      </c>
      <c r="C28" s="68">
        <v>52</v>
      </c>
      <c r="D28" s="69">
        <f t="shared" si="1"/>
        <v>166.4</v>
      </c>
      <c r="E28" s="69">
        <v>62.4</v>
      </c>
      <c r="F28" s="70">
        <f t="shared" si="2"/>
        <v>182</v>
      </c>
      <c r="G28" s="70">
        <v>67.599999999999994</v>
      </c>
      <c r="H28" s="16">
        <v>41.6</v>
      </c>
    </row>
    <row r="29" spans="1:17" x14ac:dyDescent="0.25">
      <c r="A29" s="17">
        <v>27</v>
      </c>
      <c r="B29" s="68">
        <f t="shared" si="0"/>
        <v>145.80000000000001</v>
      </c>
      <c r="C29" s="68">
        <v>54</v>
      </c>
      <c r="D29" s="69">
        <f t="shared" si="1"/>
        <v>172.8</v>
      </c>
      <c r="E29" s="69">
        <v>64.8</v>
      </c>
      <c r="F29" s="70">
        <f t="shared" si="2"/>
        <v>189</v>
      </c>
      <c r="G29" s="70">
        <v>70.2</v>
      </c>
      <c r="H29" s="16">
        <v>43.2</v>
      </c>
      <c r="J29" s="130" t="s">
        <v>36</v>
      </c>
      <c r="K29" s="130"/>
      <c r="L29" s="130"/>
      <c r="M29" s="130"/>
      <c r="N29" s="130"/>
      <c r="O29" s="130"/>
      <c r="P29" s="130"/>
      <c r="Q29" s="130"/>
    </row>
    <row r="30" spans="1:17" x14ac:dyDescent="0.25">
      <c r="A30" s="17">
        <v>28</v>
      </c>
      <c r="B30" s="68">
        <f t="shared" si="0"/>
        <v>151.19999999999999</v>
      </c>
      <c r="C30" s="68">
        <v>56</v>
      </c>
      <c r="D30" s="69">
        <f t="shared" si="1"/>
        <v>179.2</v>
      </c>
      <c r="E30" s="69">
        <v>67.2</v>
      </c>
      <c r="F30" s="70">
        <f t="shared" si="2"/>
        <v>196</v>
      </c>
      <c r="G30" s="70">
        <v>72.8</v>
      </c>
      <c r="H30" s="16">
        <v>44.8</v>
      </c>
    </row>
    <row r="31" spans="1:17" x14ac:dyDescent="0.25">
      <c r="A31" s="17">
        <v>29</v>
      </c>
      <c r="B31" s="68">
        <f t="shared" si="0"/>
        <v>156.6</v>
      </c>
      <c r="C31" s="68">
        <v>58</v>
      </c>
      <c r="D31" s="69">
        <f t="shared" si="1"/>
        <v>185.6</v>
      </c>
      <c r="E31" s="69">
        <v>69.599999999999994</v>
      </c>
      <c r="F31" s="70">
        <f t="shared" si="2"/>
        <v>203</v>
      </c>
      <c r="G31" s="70">
        <v>75.400000000000006</v>
      </c>
      <c r="H31" s="16">
        <v>46.4</v>
      </c>
      <c r="J31" s="129" t="s">
        <v>37</v>
      </c>
      <c r="K31" s="129"/>
      <c r="L31" s="129"/>
      <c r="M31" s="129"/>
      <c r="N31" s="129"/>
      <c r="O31" s="129"/>
      <c r="P31" s="129"/>
      <c r="Q31" s="129"/>
    </row>
    <row r="32" spans="1:17" x14ac:dyDescent="0.25">
      <c r="A32" s="17">
        <v>30</v>
      </c>
      <c r="B32" s="68">
        <f t="shared" si="0"/>
        <v>162</v>
      </c>
      <c r="C32" s="68">
        <v>60</v>
      </c>
      <c r="D32" s="69">
        <f t="shared" si="1"/>
        <v>192</v>
      </c>
      <c r="E32" s="69">
        <v>72</v>
      </c>
      <c r="F32" s="70">
        <f t="shared" si="2"/>
        <v>210</v>
      </c>
      <c r="G32" s="70">
        <v>78</v>
      </c>
      <c r="H32" s="16">
        <v>48</v>
      </c>
    </row>
    <row r="33" spans="1:8" x14ac:dyDescent="0.25">
      <c r="A33" s="17">
        <v>31</v>
      </c>
      <c r="B33" s="68">
        <f t="shared" si="0"/>
        <v>167.4</v>
      </c>
      <c r="C33" s="68">
        <v>62</v>
      </c>
      <c r="D33" s="69">
        <f t="shared" si="1"/>
        <v>198.4</v>
      </c>
      <c r="E33" s="69">
        <v>74.400000000000006</v>
      </c>
      <c r="F33" s="70">
        <f t="shared" si="2"/>
        <v>217</v>
      </c>
      <c r="G33" s="70">
        <v>80.599999999999994</v>
      </c>
      <c r="H33" s="16">
        <v>49.6</v>
      </c>
    </row>
    <row r="34" spans="1:8" x14ac:dyDescent="0.25">
      <c r="A34" s="17">
        <v>32</v>
      </c>
      <c r="B34" s="68">
        <f t="shared" si="0"/>
        <v>172.8</v>
      </c>
      <c r="C34" s="68">
        <v>64</v>
      </c>
      <c r="D34" s="69">
        <f t="shared" si="1"/>
        <v>204.8</v>
      </c>
      <c r="E34" s="69">
        <v>76.8</v>
      </c>
      <c r="F34" s="70">
        <f t="shared" si="2"/>
        <v>224</v>
      </c>
      <c r="G34" s="70">
        <v>83.2</v>
      </c>
      <c r="H34" s="16">
        <v>51.2</v>
      </c>
    </row>
    <row r="35" spans="1:8" x14ac:dyDescent="0.25">
      <c r="A35" s="17">
        <v>33</v>
      </c>
      <c r="B35" s="68">
        <f t="shared" si="0"/>
        <v>178.2</v>
      </c>
      <c r="C35" s="68">
        <v>66</v>
      </c>
      <c r="D35" s="69">
        <f t="shared" si="1"/>
        <v>211.2</v>
      </c>
      <c r="E35" s="69">
        <v>79.2</v>
      </c>
      <c r="F35" s="70">
        <f t="shared" si="2"/>
        <v>231</v>
      </c>
      <c r="G35" s="70">
        <v>85.8</v>
      </c>
      <c r="H35" s="16">
        <v>52.8</v>
      </c>
    </row>
    <row r="36" spans="1:8" x14ac:dyDescent="0.25">
      <c r="A36" s="17">
        <v>34</v>
      </c>
      <c r="B36" s="68">
        <f t="shared" si="0"/>
        <v>183.6</v>
      </c>
      <c r="C36" s="68">
        <v>68</v>
      </c>
      <c r="D36" s="69">
        <f t="shared" si="1"/>
        <v>217.6</v>
      </c>
      <c r="E36" s="69">
        <v>81.599999999999994</v>
      </c>
      <c r="F36" s="70">
        <f t="shared" si="2"/>
        <v>238</v>
      </c>
      <c r="G36" s="70">
        <v>88.4</v>
      </c>
      <c r="H36" s="16">
        <v>54.4</v>
      </c>
    </row>
    <row r="37" spans="1:8" x14ac:dyDescent="0.25">
      <c r="A37" s="17">
        <v>35</v>
      </c>
      <c r="B37" s="68">
        <f t="shared" si="0"/>
        <v>189</v>
      </c>
      <c r="C37" s="68">
        <v>70</v>
      </c>
      <c r="D37" s="69">
        <f t="shared" si="1"/>
        <v>224</v>
      </c>
      <c r="E37" s="69">
        <v>84</v>
      </c>
      <c r="F37" s="70">
        <f t="shared" si="2"/>
        <v>245</v>
      </c>
      <c r="G37" s="70">
        <v>91</v>
      </c>
      <c r="H37" s="16">
        <v>56</v>
      </c>
    </row>
    <row r="38" spans="1:8" x14ac:dyDescent="0.25">
      <c r="A38" s="17">
        <v>36</v>
      </c>
      <c r="B38" s="68">
        <f t="shared" si="0"/>
        <v>194.4</v>
      </c>
      <c r="C38" s="68">
        <v>72</v>
      </c>
      <c r="D38" s="69">
        <f t="shared" si="1"/>
        <v>230.4</v>
      </c>
      <c r="E38" s="69">
        <v>86.4</v>
      </c>
      <c r="F38" s="70">
        <f t="shared" si="2"/>
        <v>252</v>
      </c>
      <c r="G38" s="70">
        <v>93.6</v>
      </c>
      <c r="H38" s="16">
        <v>57.6</v>
      </c>
    </row>
    <row r="39" spans="1:8" ht="15.75" thickBot="1" x14ac:dyDescent="0.3">
      <c r="A39" s="18">
        <v>37</v>
      </c>
      <c r="B39" s="68">
        <f>SUM((A39*27)/5)</f>
        <v>199.8</v>
      </c>
      <c r="C39" s="68">
        <v>74</v>
      </c>
      <c r="D39" s="69">
        <f>SUM((A39*32)/5)</f>
        <v>236.8</v>
      </c>
      <c r="E39" s="69">
        <v>88.8</v>
      </c>
      <c r="F39" s="70">
        <f t="shared" si="2"/>
        <v>259</v>
      </c>
      <c r="G39" s="70">
        <v>96.2</v>
      </c>
      <c r="H39" s="16">
        <v>59.2</v>
      </c>
    </row>
    <row r="42" spans="1:8" x14ac:dyDescent="0.25">
      <c r="G42" s="57" t="s">
        <v>38</v>
      </c>
      <c r="H42" s="57">
        <f>SUM((28/5)*K6)</f>
        <v>28</v>
      </c>
    </row>
    <row r="43" spans="1:8" x14ac:dyDescent="0.25">
      <c r="G43" s="57" t="s">
        <v>39</v>
      </c>
      <c r="H43" s="81">
        <f>SUM((H42/365)*(K4+K12))</f>
        <v>16.263013698630139</v>
      </c>
    </row>
  </sheetData>
  <sheetProtection sheet="1" objects="1" scenarios="1"/>
  <mergeCells count="4">
    <mergeCell ref="J1:K1"/>
    <mergeCell ref="A1:H1"/>
    <mergeCell ref="J31:Q31"/>
    <mergeCell ref="J29:Q29"/>
  </mergeCells>
  <phoneticPr fontId="4" type="noConversion"/>
  <hyperlinks>
    <hyperlink ref="J31:Q31" r:id="rId1" display="Please find the guidance notes on how to adjust and employees leave entitlement in MyView here:  &lt;http://intranet/our-people/hr/resourcelink-myview/&gt;" xr:uid="{D938E145-FED2-408E-B311-256FD0EE2DF6}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5"/>
  <sheetViews>
    <sheetView tabSelected="1" workbookViewId="0">
      <selection activeCell="Q11" sqref="Q11"/>
    </sheetView>
  </sheetViews>
  <sheetFormatPr defaultRowHeight="15" x14ac:dyDescent="0.25"/>
  <cols>
    <col min="1" max="1" width="11" style="82" customWidth="1"/>
    <col min="2" max="2" width="8.5703125" style="82" bestFit="1" customWidth="1"/>
    <col min="3" max="7" width="9.140625" style="82"/>
    <col min="8" max="8" width="10" style="82" customWidth="1"/>
    <col min="9" max="9" width="9.140625" style="82"/>
    <col min="10" max="10" width="82.42578125" style="82" bestFit="1" customWidth="1"/>
    <col min="11" max="11" width="11.42578125" style="82" bestFit="1" customWidth="1"/>
    <col min="12" max="12" width="3.140625" style="82" customWidth="1"/>
    <col min="13" max="13" width="10.7109375" style="108" bestFit="1" customWidth="1"/>
    <col min="14" max="16384" width="9.140625" style="82"/>
  </cols>
  <sheetData>
    <row r="1" spans="1:14" x14ac:dyDescent="0.25">
      <c r="A1" s="133" t="s">
        <v>0</v>
      </c>
      <c r="B1" s="134"/>
      <c r="C1" s="134"/>
      <c r="D1" s="134"/>
      <c r="E1" s="134"/>
      <c r="F1" s="134"/>
      <c r="G1" s="134"/>
      <c r="H1" s="135"/>
      <c r="J1" s="131" t="s">
        <v>1</v>
      </c>
      <c r="K1" s="132"/>
      <c r="M1" s="83" t="s">
        <v>2</v>
      </c>
    </row>
    <row r="2" spans="1:14" ht="105" x14ac:dyDescent="0.25">
      <c r="A2" s="84" t="s">
        <v>3</v>
      </c>
      <c r="B2" s="84" t="s">
        <v>4</v>
      </c>
      <c r="C2" s="84" t="s">
        <v>5</v>
      </c>
      <c r="D2" s="84" t="s">
        <v>6</v>
      </c>
      <c r="E2" s="84" t="s">
        <v>5</v>
      </c>
      <c r="F2" s="85" t="s">
        <v>7</v>
      </c>
      <c r="G2" s="84" t="s">
        <v>5</v>
      </c>
      <c r="H2" s="86" t="s">
        <v>8</v>
      </c>
      <c r="J2" s="87" t="s">
        <v>40</v>
      </c>
      <c r="K2" s="71">
        <v>44709</v>
      </c>
      <c r="M2" s="88"/>
    </row>
    <row r="3" spans="1:14" x14ac:dyDescent="0.25">
      <c r="A3" s="89">
        <v>1</v>
      </c>
      <c r="B3" s="68">
        <f t="shared" ref="B3:B38" si="0">SUM((A3*27)/5)</f>
        <v>5.4</v>
      </c>
      <c r="C3" s="90">
        <v>2</v>
      </c>
      <c r="D3" s="69">
        <f t="shared" ref="D3:D38" si="1">SUM((A3*32)/5)</f>
        <v>6.4</v>
      </c>
      <c r="E3" s="91">
        <v>2.4</v>
      </c>
      <c r="F3" s="70">
        <f t="shared" ref="F3:F39" si="2">SUM((A3*35)/5)</f>
        <v>7</v>
      </c>
      <c r="G3" s="92">
        <v>2.6</v>
      </c>
      <c r="H3" s="93">
        <v>1.6</v>
      </c>
      <c r="J3" s="87" t="s">
        <v>10</v>
      </c>
      <c r="K3" s="71">
        <v>45051</v>
      </c>
      <c r="M3" s="88"/>
    </row>
    <row r="4" spans="1:14" x14ac:dyDescent="0.25">
      <c r="A4" s="94">
        <v>2</v>
      </c>
      <c r="B4" s="68">
        <f t="shared" si="0"/>
        <v>10.8</v>
      </c>
      <c r="C4" s="90">
        <v>4</v>
      </c>
      <c r="D4" s="69">
        <f t="shared" si="1"/>
        <v>12.8</v>
      </c>
      <c r="E4" s="91">
        <v>4.8</v>
      </c>
      <c r="F4" s="70">
        <f t="shared" si="2"/>
        <v>14</v>
      </c>
      <c r="G4" s="92">
        <v>5.2</v>
      </c>
      <c r="H4" s="93">
        <v>3.2</v>
      </c>
      <c r="J4" s="95" t="s">
        <v>11</v>
      </c>
      <c r="K4" s="115">
        <f>SUM((K3-K2)+28)</f>
        <v>370</v>
      </c>
      <c r="M4" s="88"/>
    </row>
    <row r="5" spans="1:14" x14ac:dyDescent="0.25">
      <c r="A5" s="94">
        <v>3</v>
      </c>
      <c r="B5" s="68">
        <f t="shared" si="0"/>
        <v>16.2</v>
      </c>
      <c r="C5" s="90">
        <v>6</v>
      </c>
      <c r="D5" s="69">
        <f t="shared" si="1"/>
        <v>19.2</v>
      </c>
      <c r="E5" s="91">
        <v>7.2</v>
      </c>
      <c r="F5" s="70">
        <f t="shared" si="2"/>
        <v>21</v>
      </c>
      <c r="G5" s="92">
        <v>7.8</v>
      </c>
      <c r="H5" s="93">
        <v>4.8</v>
      </c>
      <c r="J5" s="96" t="s">
        <v>12</v>
      </c>
      <c r="K5" s="72">
        <v>37</v>
      </c>
      <c r="M5" s="88"/>
    </row>
    <row r="6" spans="1:14" x14ac:dyDescent="0.25">
      <c r="A6" s="94">
        <v>4</v>
      </c>
      <c r="B6" s="68">
        <f t="shared" si="0"/>
        <v>21.6</v>
      </c>
      <c r="C6" s="90">
        <v>8</v>
      </c>
      <c r="D6" s="69">
        <f t="shared" si="1"/>
        <v>25.6</v>
      </c>
      <c r="E6" s="91">
        <v>9.6</v>
      </c>
      <c r="F6" s="70">
        <f t="shared" si="2"/>
        <v>28</v>
      </c>
      <c r="G6" s="92">
        <v>10.4</v>
      </c>
      <c r="H6" s="93">
        <v>6.4</v>
      </c>
      <c r="J6" s="96" t="s">
        <v>13</v>
      </c>
      <c r="K6" s="72">
        <v>5</v>
      </c>
      <c r="M6" s="88"/>
    </row>
    <row r="7" spans="1:14" x14ac:dyDescent="0.25">
      <c r="A7" s="94">
        <v>5</v>
      </c>
      <c r="B7" s="68">
        <f t="shared" si="0"/>
        <v>27</v>
      </c>
      <c r="C7" s="90">
        <v>10</v>
      </c>
      <c r="D7" s="69">
        <f t="shared" si="1"/>
        <v>32</v>
      </c>
      <c r="E7" s="91">
        <v>12</v>
      </c>
      <c r="F7" s="70">
        <f t="shared" si="2"/>
        <v>35</v>
      </c>
      <c r="G7" s="92">
        <v>13</v>
      </c>
      <c r="H7" s="93">
        <v>8</v>
      </c>
      <c r="J7" s="95" t="s">
        <v>14</v>
      </c>
      <c r="K7" s="116">
        <f>SUM(K5/K6)</f>
        <v>7.4</v>
      </c>
      <c r="M7" s="88"/>
    </row>
    <row r="8" spans="1:14" x14ac:dyDescent="0.25">
      <c r="A8" s="94">
        <v>6</v>
      </c>
      <c r="B8" s="68">
        <f t="shared" si="0"/>
        <v>32.4</v>
      </c>
      <c r="C8" s="90">
        <v>12</v>
      </c>
      <c r="D8" s="69">
        <f t="shared" si="1"/>
        <v>38.4</v>
      </c>
      <c r="E8" s="91">
        <v>14.4</v>
      </c>
      <c r="F8" s="70">
        <f t="shared" si="2"/>
        <v>42</v>
      </c>
      <c r="G8" s="92">
        <v>15.6</v>
      </c>
      <c r="H8" s="93">
        <v>9.6</v>
      </c>
      <c r="J8" s="96" t="s">
        <v>15</v>
      </c>
      <c r="K8" s="72">
        <v>259</v>
      </c>
      <c r="M8" s="88"/>
    </row>
    <row r="9" spans="1:14" x14ac:dyDescent="0.25">
      <c r="A9" s="94">
        <v>7</v>
      </c>
      <c r="B9" s="68">
        <f t="shared" si="0"/>
        <v>37.799999999999997</v>
      </c>
      <c r="C9" s="90">
        <v>14</v>
      </c>
      <c r="D9" s="69">
        <f t="shared" si="1"/>
        <v>44.8</v>
      </c>
      <c r="E9" s="91">
        <v>16.8</v>
      </c>
      <c r="F9" s="70">
        <f t="shared" si="2"/>
        <v>49</v>
      </c>
      <c r="G9" s="92">
        <v>18.2</v>
      </c>
      <c r="H9" s="93">
        <v>11.2</v>
      </c>
      <c r="J9" s="97" t="s">
        <v>41</v>
      </c>
      <c r="K9" s="117">
        <f>IF(K4&gt;365,(K8),((K4*(K8-(2*K7)))/365))</f>
        <v>259</v>
      </c>
      <c r="M9" s="28">
        <f>SUM(K9/K7)</f>
        <v>35</v>
      </c>
    </row>
    <row r="10" spans="1:14" x14ac:dyDescent="0.25">
      <c r="A10" s="94">
        <v>8</v>
      </c>
      <c r="B10" s="68">
        <f t="shared" si="0"/>
        <v>43.2</v>
      </c>
      <c r="C10" s="90">
        <v>16</v>
      </c>
      <c r="D10" s="69">
        <f t="shared" si="1"/>
        <v>51.2</v>
      </c>
      <c r="E10" s="91">
        <v>19.2</v>
      </c>
      <c r="F10" s="70">
        <f t="shared" si="2"/>
        <v>56</v>
      </c>
      <c r="G10" s="92">
        <v>20.8</v>
      </c>
      <c r="H10" s="93">
        <v>12.8</v>
      </c>
      <c r="J10" s="87" t="s">
        <v>42</v>
      </c>
      <c r="K10" s="71">
        <v>45292</v>
      </c>
      <c r="M10" s="88"/>
    </row>
    <row r="11" spans="1:14" x14ac:dyDescent="0.25">
      <c r="A11" s="94">
        <v>9</v>
      </c>
      <c r="B11" s="68">
        <f t="shared" si="0"/>
        <v>48.6</v>
      </c>
      <c r="C11" s="90">
        <v>18</v>
      </c>
      <c r="D11" s="69">
        <f t="shared" si="1"/>
        <v>57.6</v>
      </c>
      <c r="E11" s="91">
        <v>21.6</v>
      </c>
      <c r="F11" s="70">
        <f t="shared" si="2"/>
        <v>63</v>
      </c>
      <c r="G11" s="92">
        <v>23.4</v>
      </c>
      <c r="H11" s="93">
        <v>14.4</v>
      </c>
      <c r="I11" s="99"/>
      <c r="J11" s="95" t="s">
        <v>43</v>
      </c>
      <c r="K11" s="115">
        <f>SUM((K10-(K2+365)))</f>
        <v>218</v>
      </c>
      <c r="M11" s="88"/>
    </row>
    <row r="12" spans="1:14" ht="15.75" thickBot="1" x14ac:dyDescent="0.3">
      <c r="A12" s="94">
        <v>10</v>
      </c>
      <c r="B12" s="68">
        <f t="shared" si="0"/>
        <v>54</v>
      </c>
      <c r="C12" s="90">
        <v>20</v>
      </c>
      <c r="D12" s="69">
        <f t="shared" si="1"/>
        <v>64</v>
      </c>
      <c r="E12" s="91">
        <v>24</v>
      </c>
      <c r="F12" s="70">
        <f t="shared" si="2"/>
        <v>70</v>
      </c>
      <c r="G12" s="92">
        <v>26</v>
      </c>
      <c r="H12" s="93">
        <v>16</v>
      </c>
      <c r="I12" s="99"/>
      <c r="J12" s="97" t="s">
        <v>44</v>
      </c>
      <c r="K12" s="117">
        <f>IF(K4&gt;365,(0),(((K7*((28/5)*K6)*(365-K4))/365)))</f>
        <v>0</v>
      </c>
      <c r="L12" s="100"/>
      <c r="M12" s="28">
        <f>SUM(K12/K7)</f>
        <v>0</v>
      </c>
      <c r="N12" s="100"/>
    </row>
    <row r="13" spans="1:14" x14ac:dyDescent="0.25">
      <c r="A13" s="94">
        <v>11</v>
      </c>
      <c r="B13" s="68">
        <f t="shared" si="0"/>
        <v>59.4</v>
      </c>
      <c r="C13" s="90">
        <v>22</v>
      </c>
      <c r="D13" s="69">
        <f t="shared" si="1"/>
        <v>70.400000000000006</v>
      </c>
      <c r="E13" s="91">
        <v>26.4</v>
      </c>
      <c r="F13" s="70">
        <f t="shared" si="2"/>
        <v>77</v>
      </c>
      <c r="G13" s="92">
        <v>28.6</v>
      </c>
      <c r="H13" s="93">
        <v>17.600000000000001</v>
      </c>
      <c r="I13" s="99"/>
      <c r="J13" s="101" t="s">
        <v>45</v>
      </c>
      <c r="K13" s="73">
        <v>32</v>
      </c>
      <c r="L13" s="100"/>
      <c r="M13" s="98"/>
    </row>
    <row r="14" spans="1:14" x14ac:dyDescent="0.25">
      <c r="A14" s="94">
        <v>12</v>
      </c>
      <c r="B14" s="68">
        <f t="shared" si="0"/>
        <v>64.8</v>
      </c>
      <c r="C14" s="90">
        <v>24</v>
      </c>
      <c r="D14" s="69">
        <f t="shared" si="1"/>
        <v>76.8</v>
      </c>
      <c r="E14" s="91">
        <v>28.8</v>
      </c>
      <c r="F14" s="70">
        <f t="shared" si="2"/>
        <v>84</v>
      </c>
      <c r="G14" s="92">
        <v>31.2</v>
      </c>
      <c r="H14" s="93">
        <v>19.2</v>
      </c>
      <c r="I14" s="99"/>
      <c r="J14" s="97" t="s">
        <v>46</v>
      </c>
      <c r="K14" s="117">
        <f>IF(K13&gt;((K9+K12)/K7),((K9+K12)-(K13*K7)),IF(K13&lt;=((K9+K12)/K7),((((28/5)*K6)-K13)*K7),100))</f>
        <v>-29.6</v>
      </c>
      <c r="L14" s="100"/>
      <c r="M14" s="118">
        <f>SUM(K14/K7)</f>
        <v>-4</v>
      </c>
      <c r="N14" s="82" t="s">
        <v>47</v>
      </c>
    </row>
    <row r="15" spans="1:14" x14ac:dyDescent="0.25">
      <c r="A15" s="94">
        <v>13</v>
      </c>
      <c r="B15" s="68">
        <f t="shared" si="0"/>
        <v>70.2</v>
      </c>
      <c r="C15" s="90">
        <v>26</v>
      </c>
      <c r="D15" s="69">
        <f t="shared" si="1"/>
        <v>83.2</v>
      </c>
      <c r="E15" s="91">
        <v>31.2</v>
      </c>
      <c r="F15" s="70">
        <f t="shared" si="2"/>
        <v>91</v>
      </c>
      <c r="G15" s="92">
        <v>33.799999999999997</v>
      </c>
      <c r="H15" s="93">
        <v>20.8</v>
      </c>
      <c r="I15" s="99"/>
      <c r="J15" s="95" t="s">
        <v>22</v>
      </c>
      <c r="K15" s="119">
        <f>SUM(K2+365+365)</f>
        <v>45439</v>
      </c>
      <c r="M15" s="88"/>
    </row>
    <row r="16" spans="1:14" ht="15.75" thickBot="1" x14ac:dyDescent="0.3">
      <c r="A16" s="94">
        <v>14</v>
      </c>
      <c r="B16" s="68">
        <f t="shared" si="0"/>
        <v>75.599999999999994</v>
      </c>
      <c r="C16" s="90">
        <v>28</v>
      </c>
      <c r="D16" s="69">
        <f t="shared" si="1"/>
        <v>89.6</v>
      </c>
      <c r="E16" s="91">
        <v>33.6</v>
      </c>
      <c r="F16" s="70">
        <f t="shared" si="2"/>
        <v>98</v>
      </c>
      <c r="G16" s="92">
        <v>36.4</v>
      </c>
      <c r="H16" s="93">
        <v>22.4</v>
      </c>
      <c r="I16" s="99"/>
      <c r="J16" s="95" t="s">
        <v>23</v>
      </c>
      <c r="K16" s="115">
        <f>SUM(K15-K10)</f>
        <v>147</v>
      </c>
      <c r="M16" s="88"/>
    </row>
    <row r="17" spans="1:17" x14ac:dyDescent="0.25">
      <c r="A17" s="94">
        <v>15</v>
      </c>
      <c r="B17" s="68">
        <f t="shared" si="0"/>
        <v>81</v>
      </c>
      <c r="C17" s="90">
        <v>30</v>
      </c>
      <c r="D17" s="69">
        <f t="shared" si="1"/>
        <v>96</v>
      </c>
      <c r="E17" s="91">
        <v>36</v>
      </c>
      <c r="F17" s="70">
        <f t="shared" si="2"/>
        <v>105</v>
      </c>
      <c r="G17" s="92">
        <v>39</v>
      </c>
      <c r="H17" s="93">
        <v>24</v>
      </c>
      <c r="I17" s="99"/>
      <c r="J17" s="87" t="s">
        <v>48</v>
      </c>
      <c r="K17" s="73">
        <v>6</v>
      </c>
      <c r="M17" s="88"/>
    </row>
    <row r="18" spans="1:17" x14ac:dyDescent="0.25">
      <c r="A18" s="94">
        <v>16</v>
      </c>
      <c r="B18" s="68">
        <f t="shared" si="0"/>
        <v>86.4</v>
      </c>
      <c r="C18" s="90">
        <v>32</v>
      </c>
      <c r="D18" s="69">
        <f t="shared" si="1"/>
        <v>102.4</v>
      </c>
      <c r="E18" s="91">
        <v>38.4</v>
      </c>
      <c r="F18" s="70">
        <f t="shared" si="2"/>
        <v>112</v>
      </c>
      <c r="G18" s="92">
        <v>41.6</v>
      </c>
      <c r="H18" s="93">
        <v>25.6</v>
      </c>
      <c r="I18" s="99"/>
      <c r="J18" s="97" t="s">
        <v>49</v>
      </c>
      <c r="K18" s="117">
        <f>IF(K4&gt;365,((((K4-365)*(K8-(2*K7)))/365)+((K16*K8)/365)),((K16*K8/365)))</f>
        <v>107.65479452054794</v>
      </c>
      <c r="L18" s="100"/>
      <c r="M18" s="28">
        <f>SUM(K18/K7)</f>
        <v>14.547945205479451</v>
      </c>
    </row>
    <row r="19" spans="1:17" ht="15.75" thickBot="1" x14ac:dyDescent="0.3">
      <c r="A19" s="94">
        <v>17</v>
      </c>
      <c r="B19" s="68">
        <f t="shared" si="0"/>
        <v>91.8</v>
      </c>
      <c r="C19" s="90">
        <v>34</v>
      </c>
      <c r="D19" s="69">
        <f t="shared" si="1"/>
        <v>108.8</v>
      </c>
      <c r="E19" s="91">
        <v>40.799999999999997</v>
      </c>
      <c r="F19" s="70">
        <f t="shared" si="2"/>
        <v>119</v>
      </c>
      <c r="G19" s="92">
        <v>44.2</v>
      </c>
      <c r="H19" s="93">
        <v>27.2</v>
      </c>
      <c r="I19" s="99"/>
      <c r="J19" s="102" t="s">
        <v>50</v>
      </c>
      <c r="K19" s="120">
        <f>SUM((K11*((((28/5)*K6)*K7))/365))</f>
        <v>123.7523287671233</v>
      </c>
      <c r="L19" s="100"/>
      <c r="M19" s="118">
        <f>SUM(K19/K7)</f>
        <v>16.723287671232878</v>
      </c>
      <c r="N19" s="82" t="s">
        <v>47</v>
      </c>
    </row>
    <row r="20" spans="1:17" ht="15.75" thickBot="1" x14ac:dyDescent="0.3">
      <c r="A20" s="94">
        <v>18</v>
      </c>
      <c r="B20" s="68">
        <f t="shared" si="0"/>
        <v>97.2</v>
      </c>
      <c r="C20" s="90">
        <v>36</v>
      </c>
      <c r="D20" s="69">
        <f t="shared" si="1"/>
        <v>115.2</v>
      </c>
      <c r="E20" s="91">
        <v>43.2</v>
      </c>
      <c r="F20" s="70">
        <f t="shared" si="2"/>
        <v>126</v>
      </c>
      <c r="G20" s="92">
        <v>46.8</v>
      </c>
      <c r="H20" s="93">
        <v>28.8</v>
      </c>
      <c r="I20" s="99"/>
      <c r="J20" s="103" t="s">
        <v>51</v>
      </c>
      <c r="K20" s="74"/>
      <c r="L20" s="100"/>
      <c r="M20" s="98"/>
    </row>
    <row r="21" spans="1:17" x14ac:dyDescent="0.25">
      <c r="A21" s="94">
        <v>19</v>
      </c>
      <c r="B21" s="68">
        <f t="shared" si="0"/>
        <v>102.6</v>
      </c>
      <c r="C21" s="90">
        <v>38</v>
      </c>
      <c r="D21" s="69">
        <f t="shared" si="1"/>
        <v>121.6</v>
      </c>
      <c r="E21" s="91">
        <v>45.6</v>
      </c>
      <c r="F21" s="70">
        <f t="shared" si="2"/>
        <v>133</v>
      </c>
      <c r="G21" s="92">
        <v>49.4</v>
      </c>
      <c r="H21" s="93">
        <v>30.4</v>
      </c>
      <c r="I21" s="99"/>
      <c r="J21" s="101" t="s">
        <v>52</v>
      </c>
      <c r="K21" s="73">
        <v>26</v>
      </c>
      <c r="M21" s="88"/>
    </row>
    <row r="22" spans="1:17" ht="15.75" thickBot="1" x14ac:dyDescent="0.3">
      <c r="A22" s="94">
        <v>20</v>
      </c>
      <c r="B22" s="68">
        <f t="shared" si="0"/>
        <v>108</v>
      </c>
      <c r="C22" s="90">
        <v>40</v>
      </c>
      <c r="D22" s="69">
        <f t="shared" si="1"/>
        <v>128</v>
      </c>
      <c r="E22" s="91">
        <v>48</v>
      </c>
      <c r="F22" s="70">
        <f t="shared" si="2"/>
        <v>140</v>
      </c>
      <c r="G22" s="92">
        <v>52</v>
      </c>
      <c r="H22" s="93">
        <v>32</v>
      </c>
      <c r="I22" s="99" t="s">
        <v>30</v>
      </c>
      <c r="J22" s="104" t="s">
        <v>53</v>
      </c>
      <c r="K22" s="121">
        <f>SUM((K14+K19)-(K21*K7))</f>
        <v>-98.247671232876712</v>
      </c>
      <c r="M22" s="122">
        <f>SUM(K22/K7)</f>
        <v>-13.276712328767122</v>
      </c>
    </row>
    <row r="23" spans="1:17" ht="15.75" thickBot="1" x14ac:dyDescent="0.3">
      <c r="A23" s="94">
        <v>21</v>
      </c>
      <c r="B23" s="68">
        <f t="shared" si="0"/>
        <v>113.4</v>
      </c>
      <c r="C23" s="90">
        <v>42</v>
      </c>
      <c r="D23" s="69">
        <f t="shared" si="1"/>
        <v>134.4</v>
      </c>
      <c r="E23" s="91">
        <v>50.4</v>
      </c>
      <c r="F23" s="70">
        <f t="shared" si="2"/>
        <v>147</v>
      </c>
      <c r="G23" s="92">
        <v>54.6</v>
      </c>
      <c r="H23" s="93">
        <v>33.6</v>
      </c>
      <c r="I23" s="99"/>
      <c r="J23" s="105"/>
      <c r="K23" s="106"/>
      <c r="M23" s="98"/>
    </row>
    <row r="24" spans="1:17" ht="15.75" thickBot="1" x14ac:dyDescent="0.3">
      <c r="A24" s="94">
        <v>22</v>
      </c>
      <c r="B24" s="68">
        <f t="shared" si="0"/>
        <v>118.8</v>
      </c>
      <c r="C24" s="90">
        <v>44</v>
      </c>
      <c r="D24" s="69">
        <f t="shared" si="1"/>
        <v>140.80000000000001</v>
      </c>
      <c r="E24" s="91">
        <v>52.8</v>
      </c>
      <c r="F24" s="70">
        <f t="shared" si="2"/>
        <v>154</v>
      </c>
      <c r="G24" s="92">
        <v>57.2</v>
      </c>
      <c r="H24" s="93">
        <v>35.200000000000003</v>
      </c>
      <c r="I24" s="99" t="s">
        <v>32</v>
      </c>
      <c r="J24" s="104" t="s">
        <v>54</v>
      </c>
      <c r="K24" s="121">
        <f>SUM((K19+K18+K14)-(K21*K7))</f>
        <v>9.4071232876712543</v>
      </c>
      <c r="M24" s="123">
        <f>SUM(K24/K7)</f>
        <v>1.2712328767123315</v>
      </c>
    </row>
    <row r="25" spans="1:17" ht="15.75" thickBot="1" x14ac:dyDescent="0.3">
      <c r="A25" s="94">
        <v>23</v>
      </c>
      <c r="B25" s="68">
        <f t="shared" si="0"/>
        <v>124.2</v>
      </c>
      <c r="C25" s="90">
        <v>46</v>
      </c>
      <c r="D25" s="69">
        <f t="shared" si="1"/>
        <v>147.19999999999999</v>
      </c>
      <c r="E25" s="91">
        <v>55.2</v>
      </c>
      <c r="F25" s="70">
        <f t="shared" si="2"/>
        <v>161</v>
      </c>
      <c r="G25" s="92">
        <v>59.8</v>
      </c>
      <c r="H25" s="93">
        <v>36.799999999999997</v>
      </c>
      <c r="J25" s="107" t="s">
        <v>33</v>
      </c>
      <c r="K25" s="25">
        <f>SUM(K17*K7)</f>
        <v>44.400000000000006</v>
      </c>
    </row>
    <row r="26" spans="1:17" x14ac:dyDescent="0.25">
      <c r="A26" s="94">
        <v>24</v>
      </c>
      <c r="B26" s="68">
        <f t="shared" si="0"/>
        <v>129.6</v>
      </c>
      <c r="C26" s="90">
        <v>48</v>
      </c>
      <c r="D26" s="69">
        <f t="shared" si="1"/>
        <v>153.6</v>
      </c>
      <c r="E26" s="91">
        <v>57.6</v>
      </c>
      <c r="F26" s="70">
        <f t="shared" si="2"/>
        <v>168</v>
      </c>
      <c r="G26" s="92">
        <v>62.4</v>
      </c>
      <c r="H26" s="93">
        <v>38.4</v>
      </c>
      <c r="M26" s="109"/>
    </row>
    <row r="27" spans="1:17" x14ac:dyDescent="0.25">
      <c r="A27" s="94">
        <v>25</v>
      </c>
      <c r="B27" s="68">
        <f t="shared" si="0"/>
        <v>135</v>
      </c>
      <c r="C27" s="90">
        <v>50</v>
      </c>
      <c r="D27" s="69">
        <f t="shared" si="1"/>
        <v>160</v>
      </c>
      <c r="E27" s="91">
        <v>60</v>
      </c>
      <c r="F27" s="70">
        <f t="shared" si="2"/>
        <v>175</v>
      </c>
      <c r="G27" s="92">
        <v>65</v>
      </c>
      <c r="H27" s="93">
        <v>40</v>
      </c>
      <c r="J27" s="110" t="s">
        <v>34</v>
      </c>
      <c r="M27" s="109"/>
    </row>
    <row r="28" spans="1:17" x14ac:dyDescent="0.25">
      <c r="A28" s="94">
        <v>26</v>
      </c>
      <c r="B28" s="68">
        <f t="shared" si="0"/>
        <v>140.4</v>
      </c>
      <c r="C28" s="90">
        <v>52</v>
      </c>
      <c r="D28" s="69">
        <f t="shared" si="1"/>
        <v>166.4</v>
      </c>
      <c r="E28" s="91">
        <v>62.4</v>
      </c>
      <c r="F28" s="70">
        <f t="shared" si="2"/>
        <v>182</v>
      </c>
      <c r="G28" s="92">
        <v>67.599999999999994</v>
      </c>
      <c r="H28" s="93">
        <v>41.6</v>
      </c>
      <c r="J28" s="111" t="s">
        <v>35</v>
      </c>
    </row>
    <row r="29" spans="1:17" x14ac:dyDescent="0.25">
      <c r="A29" s="94">
        <v>27</v>
      </c>
      <c r="B29" s="68">
        <f t="shared" si="0"/>
        <v>145.80000000000001</v>
      </c>
      <c r="C29" s="90">
        <v>54</v>
      </c>
      <c r="D29" s="69">
        <f t="shared" si="1"/>
        <v>172.8</v>
      </c>
      <c r="E29" s="91">
        <v>64.8</v>
      </c>
      <c r="F29" s="70">
        <f t="shared" si="2"/>
        <v>189</v>
      </c>
      <c r="G29" s="92">
        <v>70.2</v>
      </c>
      <c r="H29" s="93">
        <v>43.2</v>
      </c>
    </row>
    <row r="30" spans="1:17" x14ac:dyDescent="0.25">
      <c r="A30" s="94">
        <v>28</v>
      </c>
      <c r="B30" s="68">
        <f t="shared" si="0"/>
        <v>151.19999999999999</v>
      </c>
      <c r="C30" s="90">
        <v>56</v>
      </c>
      <c r="D30" s="69">
        <f t="shared" si="1"/>
        <v>179.2</v>
      </c>
      <c r="E30" s="91">
        <v>67.2</v>
      </c>
      <c r="F30" s="70">
        <f t="shared" si="2"/>
        <v>196</v>
      </c>
      <c r="G30" s="92">
        <v>72.8</v>
      </c>
      <c r="H30" s="93">
        <v>44.8</v>
      </c>
      <c r="J30" s="137" t="s">
        <v>55</v>
      </c>
      <c r="K30" s="137"/>
      <c r="L30" s="137"/>
      <c r="M30" s="137"/>
      <c r="N30" s="137"/>
      <c r="O30" s="137"/>
      <c r="P30" s="137"/>
      <c r="Q30" s="137"/>
    </row>
    <row r="31" spans="1:17" x14ac:dyDescent="0.25">
      <c r="A31" s="94">
        <v>29</v>
      </c>
      <c r="B31" s="68">
        <f t="shared" si="0"/>
        <v>156.6</v>
      </c>
      <c r="C31" s="90">
        <v>58</v>
      </c>
      <c r="D31" s="69">
        <f t="shared" si="1"/>
        <v>185.6</v>
      </c>
      <c r="E31" s="91">
        <v>69.599999999999994</v>
      </c>
      <c r="F31" s="70">
        <f t="shared" si="2"/>
        <v>203</v>
      </c>
      <c r="G31" s="92">
        <v>75.400000000000006</v>
      </c>
      <c r="H31" s="93">
        <v>46.4</v>
      </c>
      <c r="J31" s="138" t="s">
        <v>56</v>
      </c>
      <c r="K31" s="138"/>
      <c r="L31" s="138"/>
      <c r="M31" s="138"/>
      <c r="N31" s="138"/>
      <c r="O31" s="138"/>
      <c r="P31" s="138"/>
      <c r="Q31" s="138"/>
    </row>
    <row r="32" spans="1:17" x14ac:dyDescent="0.25">
      <c r="A32" s="94">
        <v>30</v>
      </c>
      <c r="B32" s="68">
        <f t="shared" si="0"/>
        <v>162</v>
      </c>
      <c r="C32" s="90">
        <v>60</v>
      </c>
      <c r="D32" s="69">
        <f t="shared" si="1"/>
        <v>192</v>
      </c>
      <c r="E32" s="91">
        <v>72</v>
      </c>
      <c r="F32" s="70">
        <f t="shared" si="2"/>
        <v>210</v>
      </c>
      <c r="G32" s="92">
        <v>78</v>
      </c>
      <c r="H32" s="93">
        <v>48</v>
      </c>
      <c r="J32" s="138"/>
      <c r="K32" s="138"/>
      <c r="L32" s="138"/>
      <c r="M32" s="138"/>
      <c r="N32" s="138"/>
      <c r="O32" s="138"/>
      <c r="P32" s="138"/>
      <c r="Q32" s="138"/>
    </row>
    <row r="33" spans="1:17" x14ac:dyDescent="0.25">
      <c r="A33" s="94">
        <v>31</v>
      </c>
      <c r="B33" s="68">
        <f t="shared" si="0"/>
        <v>167.4</v>
      </c>
      <c r="C33" s="90">
        <v>62</v>
      </c>
      <c r="D33" s="69">
        <f t="shared" si="1"/>
        <v>198.4</v>
      </c>
      <c r="E33" s="91">
        <v>74.400000000000006</v>
      </c>
      <c r="F33" s="70">
        <f t="shared" si="2"/>
        <v>217</v>
      </c>
      <c r="G33" s="92">
        <v>80.599999999999994</v>
      </c>
      <c r="H33" s="93">
        <v>49.6</v>
      </c>
      <c r="J33" s="112"/>
    </row>
    <row r="34" spans="1:17" x14ac:dyDescent="0.25">
      <c r="A34" s="94">
        <v>32</v>
      </c>
      <c r="B34" s="68">
        <f t="shared" si="0"/>
        <v>172.8</v>
      </c>
      <c r="C34" s="90">
        <v>64</v>
      </c>
      <c r="D34" s="69">
        <f t="shared" si="1"/>
        <v>204.8</v>
      </c>
      <c r="E34" s="91">
        <v>76.8</v>
      </c>
      <c r="F34" s="70">
        <f t="shared" si="2"/>
        <v>224</v>
      </c>
      <c r="G34" s="92">
        <v>83.2</v>
      </c>
      <c r="H34" s="93">
        <v>51.2</v>
      </c>
      <c r="J34" s="136" t="s">
        <v>37</v>
      </c>
      <c r="K34" s="136"/>
      <c r="L34" s="136"/>
      <c r="M34" s="136"/>
      <c r="N34" s="136"/>
      <c r="O34" s="136"/>
      <c r="P34" s="136"/>
      <c r="Q34" s="136"/>
    </row>
    <row r="35" spans="1:17" x14ac:dyDescent="0.25">
      <c r="A35" s="94">
        <v>33</v>
      </c>
      <c r="B35" s="68">
        <f t="shared" si="0"/>
        <v>178.2</v>
      </c>
      <c r="C35" s="90">
        <v>66</v>
      </c>
      <c r="D35" s="69">
        <f t="shared" si="1"/>
        <v>211.2</v>
      </c>
      <c r="E35" s="91">
        <v>79.2</v>
      </c>
      <c r="F35" s="70">
        <f t="shared" si="2"/>
        <v>231</v>
      </c>
      <c r="G35" s="92">
        <v>85.8</v>
      </c>
      <c r="H35" s="93">
        <v>52.8</v>
      </c>
      <c r="J35" s="112"/>
    </row>
    <row r="36" spans="1:17" x14ac:dyDescent="0.25">
      <c r="A36" s="94">
        <v>34</v>
      </c>
      <c r="B36" s="68">
        <f t="shared" si="0"/>
        <v>183.6</v>
      </c>
      <c r="C36" s="90">
        <v>68</v>
      </c>
      <c r="D36" s="69">
        <f t="shared" si="1"/>
        <v>217.6</v>
      </c>
      <c r="E36" s="91">
        <v>81.599999999999994</v>
      </c>
      <c r="F36" s="70">
        <f t="shared" si="2"/>
        <v>238</v>
      </c>
      <c r="G36" s="92">
        <v>88.4</v>
      </c>
      <c r="H36" s="93">
        <v>54.4</v>
      </c>
      <c r="J36" s="112"/>
    </row>
    <row r="37" spans="1:17" x14ac:dyDescent="0.25">
      <c r="A37" s="94">
        <v>35</v>
      </c>
      <c r="B37" s="68">
        <f t="shared" si="0"/>
        <v>189</v>
      </c>
      <c r="C37" s="90">
        <v>70</v>
      </c>
      <c r="D37" s="69">
        <f t="shared" si="1"/>
        <v>224</v>
      </c>
      <c r="E37" s="91">
        <v>84</v>
      </c>
      <c r="F37" s="70">
        <f t="shared" si="2"/>
        <v>245</v>
      </c>
      <c r="G37" s="92">
        <v>91</v>
      </c>
      <c r="H37" s="93">
        <v>56</v>
      </c>
      <c r="J37" s="113"/>
    </row>
    <row r="38" spans="1:17" x14ac:dyDescent="0.25">
      <c r="A38" s="94">
        <v>36</v>
      </c>
      <c r="B38" s="68">
        <f t="shared" si="0"/>
        <v>194.4</v>
      </c>
      <c r="C38" s="90">
        <v>72</v>
      </c>
      <c r="D38" s="69">
        <f t="shared" si="1"/>
        <v>230.4</v>
      </c>
      <c r="E38" s="91">
        <v>86.4</v>
      </c>
      <c r="F38" s="70">
        <f t="shared" si="2"/>
        <v>252</v>
      </c>
      <c r="G38" s="92">
        <v>93.6</v>
      </c>
      <c r="H38" s="93">
        <v>57.6</v>
      </c>
      <c r="J38" s="112"/>
    </row>
    <row r="39" spans="1:17" ht="15.75" thickBot="1" x14ac:dyDescent="0.3">
      <c r="A39" s="114">
        <v>37</v>
      </c>
      <c r="B39" s="68">
        <f>SUM((A39*27)/5)</f>
        <v>199.8</v>
      </c>
      <c r="C39" s="90">
        <v>74</v>
      </c>
      <c r="D39" s="69">
        <f>SUM((A39*32)/5)</f>
        <v>236.8</v>
      </c>
      <c r="E39" s="91">
        <v>88.8</v>
      </c>
      <c r="F39" s="70">
        <f t="shared" si="2"/>
        <v>259</v>
      </c>
      <c r="G39" s="92">
        <v>96.2</v>
      </c>
      <c r="H39" s="93">
        <v>59.2</v>
      </c>
      <c r="J39" s="112"/>
    </row>
    <row r="40" spans="1:17" x14ac:dyDescent="0.25">
      <c r="J40" s="112"/>
    </row>
    <row r="41" spans="1:17" x14ac:dyDescent="0.25">
      <c r="J41" s="113"/>
    </row>
    <row r="42" spans="1:17" x14ac:dyDescent="0.25">
      <c r="J42" s="112"/>
    </row>
    <row r="43" spans="1:17" x14ac:dyDescent="0.25">
      <c r="J43" s="112"/>
    </row>
    <row r="44" spans="1:17" x14ac:dyDescent="0.25">
      <c r="J44" s="112"/>
    </row>
    <row r="45" spans="1:17" x14ac:dyDescent="0.25">
      <c r="J45" s="112"/>
    </row>
    <row r="46" spans="1:17" x14ac:dyDescent="0.25">
      <c r="J46" s="112"/>
    </row>
    <row r="47" spans="1:17" x14ac:dyDescent="0.25">
      <c r="J47" s="113"/>
    </row>
    <row r="48" spans="1:17" x14ac:dyDescent="0.25">
      <c r="J48" s="112"/>
    </row>
    <row r="49" spans="10:10" x14ac:dyDescent="0.25">
      <c r="J49" s="112"/>
    </row>
    <row r="50" spans="10:10" x14ac:dyDescent="0.25">
      <c r="J50" s="112"/>
    </row>
    <row r="51" spans="10:10" x14ac:dyDescent="0.25">
      <c r="J51" s="112"/>
    </row>
    <row r="52" spans="10:10" x14ac:dyDescent="0.25">
      <c r="J52" s="112"/>
    </row>
    <row r="53" spans="10:10" x14ac:dyDescent="0.25">
      <c r="J53" s="112"/>
    </row>
    <row r="54" spans="10:10" x14ac:dyDescent="0.25">
      <c r="J54" s="112"/>
    </row>
    <row r="55" spans="10:10" x14ac:dyDescent="0.25">
      <c r="J55" s="112"/>
    </row>
  </sheetData>
  <sheetProtection sheet="1" objects="1" scenarios="1"/>
  <mergeCells count="5">
    <mergeCell ref="J1:K1"/>
    <mergeCell ref="A1:H1"/>
    <mergeCell ref="J34:Q34"/>
    <mergeCell ref="J30:Q30"/>
    <mergeCell ref="J31:Q32"/>
  </mergeCells>
  <phoneticPr fontId="4" type="noConversion"/>
  <hyperlinks>
    <hyperlink ref="J34:Q34" r:id="rId1" display="Please find the guidance notes on how to adjust and employees leave entitlement in MyView here:  &lt;http://intranet/our-people/hr/resourcelink-myview/&gt;" xr:uid="{74BAECA2-FD6F-49DD-90CA-9B8716BA0F89}"/>
  </hyperlinks>
  <pageMargins left="0.31496062992125984" right="0.31496062992125984" top="0.74803149606299213" bottom="0.74803149606299213" header="0.31496062992125984" footer="0.31496062992125984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"/>
  <sheetViews>
    <sheetView topLeftCell="H1" workbookViewId="0">
      <selection activeCell="J2" sqref="J2"/>
    </sheetView>
  </sheetViews>
  <sheetFormatPr defaultRowHeight="15" x14ac:dyDescent="0.25"/>
  <cols>
    <col min="1" max="1" width="11" customWidth="1"/>
    <col min="2" max="2" width="8.5703125" bestFit="1" customWidth="1"/>
    <col min="8" max="8" width="10" customWidth="1"/>
    <col min="10" max="10" width="82.42578125" bestFit="1" customWidth="1"/>
    <col min="11" max="11" width="10.7109375" bestFit="1" customWidth="1"/>
    <col min="12" max="12" width="3.140625" customWidth="1"/>
    <col min="13" max="13" width="10.7109375" style="29" bestFit="1" customWidth="1"/>
    <col min="14" max="14" width="18.42578125" customWidth="1"/>
    <col min="15" max="15" width="6.42578125" customWidth="1"/>
    <col min="16" max="16" width="10.7109375" bestFit="1" customWidth="1"/>
    <col min="17" max="17" width="3.85546875" customWidth="1"/>
    <col min="18" max="18" width="10.7109375" bestFit="1" customWidth="1"/>
  </cols>
  <sheetData>
    <row r="1" spans="1:19" x14ac:dyDescent="0.25">
      <c r="A1" s="139" t="s">
        <v>57</v>
      </c>
      <c r="B1" s="140"/>
      <c r="C1" s="140"/>
      <c r="D1" s="140"/>
      <c r="E1" s="140"/>
      <c r="F1" s="140"/>
      <c r="G1" s="140"/>
      <c r="H1" s="141"/>
      <c r="J1" s="142" t="s">
        <v>1</v>
      </c>
      <c r="K1" s="143"/>
      <c r="M1" s="26" t="s">
        <v>2</v>
      </c>
    </row>
    <row r="2" spans="1:19" ht="105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5</v>
      </c>
      <c r="F2" s="10" t="s">
        <v>7</v>
      </c>
      <c r="G2" s="9" t="s">
        <v>5</v>
      </c>
      <c r="H2" s="11" t="s">
        <v>8</v>
      </c>
      <c r="J2" s="1" t="s">
        <v>40</v>
      </c>
      <c r="K2" s="2">
        <v>1</v>
      </c>
      <c r="M2" s="27"/>
    </row>
    <row r="3" spans="1:19" x14ac:dyDescent="0.25">
      <c r="A3" s="12">
        <v>1</v>
      </c>
      <c r="B3" s="13">
        <v>5.2</v>
      </c>
      <c r="C3" s="13">
        <v>2</v>
      </c>
      <c r="D3" s="14">
        <v>6.2</v>
      </c>
      <c r="E3" s="14">
        <v>2.4</v>
      </c>
      <c r="F3" s="15">
        <v>6.8</v>
      </c>
      <c r="G3" s="15">
        <v>2.6</v>
      </c>
      <c r="H3" s="16">
        <v>1.6</v>
      </c>
      <c r="J3" s="1" t="s">
        <v>10</v>
      </c>
      <c r="K3" s="2">
        <v>41374</v>
      </c>
      <c r="M3" s="27"/>
    </row>
    <row r="4" spans="1:19" x14ac:dyDescent="0.25">
      <c r="A4" s="17">
        <v>2</v>
      </c>
      <c r="B4" s="13">
        <v>10.4</v>
      </c>
      <c r="C4" s="13">
        <v>4</v>
      </c>
      <c r="D4" s="14">
        <v>12.4</v>
      </c>
      <c r="E4" s="14">
        <v>4.8</v>
      </c>
      <c r="F4" s="15">
        <v>13.6</v>
      </c>
      <c r="G4" s="15">
        <v>5.2</v>
      </c>
      <c r="H4" s="16">
        <v>3.2</v>
      </c>
      <c r="J4" s="3" t="s">
        <v>11</v>
      </c>
      <c r="K4" s="4">
        <f>SUM((K3-K2)+28)</f>
        <v>41401</v>
      </c>
      <c r="M4" s="27"/>
    </row>
    <row r="5" spans="1:19" x14ac:dyDescent="0.25">
      <c r="A5" s="17">
        <v>3</v>
      </c>
      <c r="B5" s="13">
        <v>15.6</v>
      </c>
      <c r="C5" s="13">
        <v>6</v>
      </c>
      <c r="D5" s="14">
        <v>18.600000000000001</v>
      </c>
      <c r="E5" s="14">
        <v>7.2</v>
      </c>
      <c r="F5" s="15">
        <v>20.399999999999999</v>
      </c>
      <c r="G5" s="15">
        <v>7.8</v>
      </c>
      <c r="H5" s="16">
        <v>4.8</v>
      </c>
      <c r="J5" s="5" t="s">
        <v>12</v>
      </c>
      <c r="K5" s="6">
        <v>37</v>
      </c>
      <c r="M5" s="27"/>
    </row>
    <row r="6" spans="1:19" x14ac:dyDescent="0.25">
      <c r="A6" s="17">
        <v>4</v>
      </c>
      <c r="B6" s="13">
        <v>20.8</v>
      </c>
      <c r="C6" s="13">
        <v>8</v>
      </c>
      <c r="D6" s="14">
        <v>24.8</v>
      </c>
      <c r="E6" s="14">
        <v>9.6</v>
      </c>
      <c r="F6" s="15">
        <v>27.2</v>
      </c>
      <c r="G6" s="15">
        <v>10.4</v>
      </c>
      <c r="H6" s="16">
        <v>6.4</v>
      </c>
      <c r="J6" s="5" t="s">
        <v>13</v>
      </c>
      <c r="K6" s="6">
        <v>5</v>
      </c>
      <c r="M6" s="27"/>
    </row>
    <row r="7" spans="1:19" x14ac:dyDescent="0.25">
      <c r="A7" s="17">
        <v>5</v>
      </c>
      <c r="B7" s="13">
        <v>26</v>
      </c>
      <c r="C7" s="13">
        <v>10</v>
      </c>
      <c r="D7" s="14">
        <v>31</v>
      </c>
      <c r="E7" s="14">
        <v>12</v>
      </c>
      <c r="F7" s="15">
        <v>34</v>
      </c>
      <c r="G7" s="15">
        <v>13</v>
      </c>
      <c r="H7" s="16">
        <v>8</v>
      </c>
      <c r="J7" s="3" t="s">
        <v>14</v>
      </c>
      <c r="K7" s="37">
        <f>SUM(K5/K6)</f>
        <v>7.4</v>
      </c>
      <c r="M7" s="27"/>
    </row>
    <row r="8" spans="1:19" x14ac:dyDescent="0.25">
      <c r="A8" s="17">
        <v>6</v>
      </c>
      <c r="B8" s="13">
        <v>31.2</v>
      </c>
      <c r="C8" s="13">
        <v>12</v>
      </c>
      <c r="D8" s="14">
        <v>37.200000000000003</v>
      </c>
      <c r="E8" s="14">
        <v>14.4</v>
      </c>
      <c r="F8" s="15">
        <v>40.799999999999997</v>
      </c>
      <c r="G8" s="15">
        <v>15.6</v>
      </c>
      <c r="H8" s="16">
        <v>9.6</v>
      </c>
      <c r="J8" s="5" t="s">
        <v>15</v>
      </c>
      <c r="K8" s="6">
        <v>192.4</v>
      </c>
      <c r="M8" s="27"/>
    </row>
    <row r="9" spans="1:19" x14ac:dyDescent="0.25">
      <c r="A9" s="17">
        <v>7</v>
      </c>
      <c r="B9" s="13">
        <v>36.4</v>
      </c>
      <c r="C9" s="13">
        <v>14</v>
      </c>
      <c r="D9" s="14">
        <v>43.4</v>
      </c>
      <c r="E9" s="14">
        <v>16.8</v>
      </c>
      <c r="F9" s="15">
        <v>47.6</v>
      </c>
      <c r="G9" s="15">
        <v>18.2</v>
      </c>
      <c r="H9" s="16">
        <v>11.2</v>
      </c>
      <c r="J9" s="1" t="s">
        <v>58</v>
      </c>
      <c r="K9" s="2">
        <v>40637</v>
      </c>
      <c r="M9" s="27"/>
    </row>
    <row r="10" spans="1:19" x14ac:dyDescent="0.25">
      <c r="A10" s="17">
        <v>8</v>
      </c>
      <c r="B10" s="13">
        <v>41.6</v>
      </c>
      <c r="C10" s="13">
        <v>16</v>
      </c>
      <c r="D10" s="14">
        <v>49.6</v>
      </c>
      <c r="E10" s="14">
        <v>19.2</v>
      </c>
      <c r="F10" s="15">
        <v>54.4</v>
      </c>
      <c r="G10" s="15">
        <v>20.8</v>
      </c>
      <c r="H10" s="16">
        <v>12.8</v>
      </c>
      <c r="J10" s="41" t="s">
        <v>59</v>
      </c>
      <c r="K10" s="42">
        <f>IF(K4&gt;365,((((K4-365)*(K8-(2*K7)))/365)+(K8-(2*K7))),((K4*(K8-(2*K7)))/365))</f>
        <v>20144.705753424656</v>
      </c>
      <c r="M10" s="28">
        <f>SUM(K10/K7)</f>
        <v>2722.2575342465748</v>
      </c>
      <c r="N10" t="s">
        <v>60</v>
      </c>
      <c r="O10" t="s">
        <v>61</v>
      </c>
      <c r="P10" s="44">
        <f>K2</f>
        <v>1</v>
      </c>
      <c r="Q10" s="19" t="s">
        <v>62</v>
      </c>
      <c r="R10" s="44">
        <f>K3+28</f>
        <v>41402</v>
      </c>
    </row>
    <row r="11" spans="1:19" x14ac:dyDescent="0.25">
      <c r="A11" s="17">
        <v>9</v>
      </c>
      <c r="B11" s="13">
        <v>46.8</v>
      </c>
      <c r="C11" s="13">
        <v>18</v>
      </c>
      <c r="D11" s="14">
        <v>55.8</v>
      </c>
      <c r="E11" s="14">
        <v>21.6</v>
      </c>
      <c r="F11" s="15">
        <v>61.2</v>
      </c>
      <c r="G11" s="15">
        <v>23.4</v>
      </c>
      <c r="H11" s="16">
        <v>14.4</v>
      </c>
      <c r="I11" s="32"/>
      <c r="J11" s="41" t="s">
        <v>63</v>
      </c>
      <c r="K11" s="42">
        <f>IF(K4&lt;365,((K7*20*(365-K4))/365),0)</f>
        <v>0</v>
      </c>
      <c r="L11" s="19"/>
      <c r="M11" s="28">
        <f>SUM(K11/K7)</f>
        <v>0</v>
      </c>
      <c r="N11" t="s">
        <v>60</v>
      </c>
      <c r="O11" t="s">
        <v>61</v>
      </c>
      <c r="P11" s="44">
        <f>K3+29</f>
        <v>41403</v>
      </c>
      <c r="Q11" s="19" t="s">
        <v>62</v>
      </c>
      <c r="R11" s="44">
        <f>K2+365</f>
        <v>366</v>
      </c>
      <c r="S11" t="s">
        <v>64</v>
      </c>
    </row>
    <row r="12" spans="1:19" x14ac:dyDescent="0.25">
      <c r="A12" s="17">
        <v>10</v>
      </c>
      <c r="B12" s="13">
        <v>52</v>
      </c>
      <c r="C12" s="13">
        <v>20</v>
      </c>
      <c r="D12" s="14">
        <v>62</v>
      </c>
      <c r="E12" s="14">
        <v>24</v>
      </c>
      <c r="F12" s="15">
        <v>68</v>
      </c>
      <c r="G12" s="15">
        <v>26</v>
      </c>
      <c r="H12" s="16">
        <v>16</v>
      </c>
      <c r="I12" s="32"/>
      <c r="J12" s="41" t="s">
        <v>65</v>
      </c>
      <c r="K12" s="42">
        <f>IF(K4&gt;365,((((K9-(K2+365))-(K4-365))*K7*20)/365),0)</f>
        <v>-310.1917808219178</v>
      </c>
      <c r="L12" s="19"/>
      <c r="M12" s="28">
        <f>SUM(K12/K7)</f>
        <v>-41.917808219178077</v>
      </c>
      <c r="N12" t="s">
        <v>66</v>
      </c>
      <c r="O12" t="s">
        <v>61</v>
      </c>
      <c r="P12" s="44">
        <f>R10+1</f>
        <v>41403</v>
      </c>
      <c r="Q12" s="19" t="s">
        <v>62</v>
      </c>
      <c r="R12" s="44">
        <f>K9-1</f>
        <v>40636</v>
      </c>
    </row>
    <row r="13" spans="1:19" x14ac:dyDescent="0.25">
      <c r="A13" s="17">
        <v>11</v>
      </c>
      <c r="B13" s="13">
        <v>57.2</v>
      </c>
      <c r="C13" s="13">
        <v>22</v>
      </c>
      <c r="D13" s="14">
        <v>68.2</v>
      </c>
      <c r="E13" s="14">
        <v>26.4</v>
      </c>
      <c r="F13" s="15">
        <v>74.8</v>
      </c>
      <c r="G13" s="15">
        <v>28.6</v>
      </c>
      <c r="H13" s="16">
        <v>17.600000000000001</v>
      </c>
      <c r="I13" s="32"/>
      <c r="J13" s="1" t="s">
        <v>67</v>
      </c>
      <c r="K13" s="2">
        <v>40708</v>
      </c>
      <c r="L13" s="19"/>
      <c r="M13" s="28"/>
    </row>
    <row r="14" spans="1:19" x14ac:dyDescent="0.25">
      <c r="A14" s="17">
        <v>12</v>
      </c>
      <c r="B14" s="13">
        <v>62.4</v>
      </c>
      <c r="C14" s="13">
        <v>24</v>
      </c>
      <c r="D14" s="14">
        <v>74.400000000000006</v>
      </c>
      <c r="E14" s="14">
        <v>28.8</v>
      </c>
      <c r="F14" s="15">
        <v>81.599999999999994</v>
      </c>
      <c r="G14" s="15">
        <v>31.2</v>
      </c>
      <c r="H14" s="16">
        <v>19.2</v>
      </c>
      <c r="I14" s="32"/>
      <c r="J14" s="1" t="s">
        <v>58</v>
      </c>
      <c r="K14" s="2">
        <v>41239</v>
      </c>
      <c r="L14" s="19"/>
      <c r="M14" s="28"/>
    </row>
    <row r="15" spans="1:19" x14ac:dyDescent="0.25">
      <c r="A15" s="17">
        <v>13</v>
      </c>
      <c r="B15" s="13">
        <v>67.599999999999994</v>
      </c>
      <c r="C15" s="13">
        <v>26</v>
      </c>
      <c r="D15" s="14">
        <v>80.599999999999994</v>
      </c>
      <c r="E15" s="14">
        <v>31.2</v>
      </c>
      <c r="F15" s="15">
        <v>88.4</v>
      </c>
      <c r="G15" s="15">
        <v>33.799999999999997</v>
      </c>
      <c r="H15" s="16">
        <v>20.8</v>
      </c>
      <c r="I15" s="32"/>
      <c r="J15" s="3" t="s">
        <v>68</v>
      </c>
      <c r="K15" s="37">
        <f>SUM((K13-K9)+28)</f>
        <v>99</v>
      </c>
      <c r="L15" s="19"/>
      <c r="M15" s="28"/>
    </row>
    <row r="16" spans="1:19" x14ac:dyDescent="0.25">
      <c r="A16" s="17">
        <v>14</v>
      </c>
      <c r="B16" s="13">
        <v>72.8</v>
      </c>
      <c r="C16" s="13">
        <v>28</v>
      </c>
      <c r="D16" s="14">
        <v>86.8</v>
      </c>
      <c r="E16" s="14">
        <v>33.6</v>
      </c>
      <c r="F16" s="15">
        <v>95.2</v>
      </c>
      <c r="G16" s="15">
        <v>36.4</v>
      </c>
      <c r="H16" s="16">
        <v>22.4</v>
      </c>
      <c r="I16" s="32"/>
      <c r="J16" s="41" t="s">
        <v>69</v>
      </c>
      <c r="K16" s="42">
        <f>SUM((K15*(K8-(2*K7)))/365)</f>
        <v>48.170958904109582</v>
      </c>
      <c r="M16" s="28">
        <f>SUM(K16/K7)</f>
        <v>6.5095890410958894</v>
      </c>
      <c r="N16" t="s">
        <v>70</v>
      </c>
      <c r="O16" t="s">
        <v>61</v>
      </c>
      <c r="P16" s="44">
        <f>K9</f>
        <v>40637</v>
      </c>
      <c r="Q16" t="s">
        <v>62</v>
      </c>
      <c r="R16" s="44">
        <f>K13+28</f>
        <v>40736</v>
      </c>
    </row>
    <row r="17" spans="1:18" x14ac:dyDescent="0.25">
      <c r="A17" s="17">
        <v>15</v>
      </c>
      <c r="B17" s="13">
        <v>78</v>
      </c>
      <c r="C17" s="13">
        <v>30</v>
      </c>
      <c r="D17" s="14">
        <v>93</v>
      </c>
      <c r="E17" s="14">
        <v>36</v>
      </c>
      <c r="F17" s="15">
        <v>102</v>
      </c>
      <c r="G17" s="15">
        <v>39</v>
      </c>
      <c r="H17" s="16">
        <v>24</v>
      </c>
      <c r="I17" s="32"/>
      <c r="J17" s="41" t="s">
        <v>71</v>
      </c>
      <c r="K17" s="42">
        <f>SUM(((K7*20*(K14-K13-28))/365))</f>
        <v>203.95616438356166</v>
      </c>
      <c r="M17" s="28">
        <f>SUM(K17/K7)</f>
        <v>27.56164383561644</v>
      </c>
      <c r="N17" t="s">
        <v>70</v>
      </c>
      <c r="O17" t="s">
        <v>61</v>
      </c>
      <c r="P17" s="44">
        <f>K13+29</f>
        <v>40737</v>
      </c>
      <c r="Q17" t="s">
        <v>62</v>
      </c>
      <c r="R17" s="44">
        <f>K14-1</f>
        <v>41238</v>
      </c>
    </row>
    <row r="18" spans="1:18" x14ac:dyDescent="0.25">
      <c r="A18" s="17">
        <v>16</v>
      </c>
      <c r="B18" s="13">
        <v>83.2</v>
      </c>
      <c r="C18" s="13">
        <v>32</v>
      </c>
      <c r="D18" s="14">
        <v>99.2</v>
      </c>
      <c r="E18" s="14">
        <v>38.4</v>
      </c>
      <c r="F18" s="15">
        <v>108.8</v>
      </c>
      <c r="G18" s="15">
        <v>41.6</v>
      </c>
      <c r="H18" s="16">
        <v>25.6</v>
      </c>
      <c r="I18" s="32"/>
      <c r="J18" s="1" t="s">
        <v>72</v>
      </c>
      <c r="K18" s="2">
        <v>0</v>
      </c>
      <c r="M18" s="27"/>
    </row>
    <row r="19" spans="1:18" x14ac:dyDescent="0.25">
      <c r="A19" s="17">
        <v>17</v>
      </c>
      <c r="B19" s="13">
        <v>88.4</v>
      </c>
      <c r="C19" s="13">
        <v>34</v>
      </c>
      <c r="D19" s="14">
        <v>105.4</v>
      </c>
      <c r="E19" s="14">
        <v>40.799999999999997</v>
      </c>
      <c r="F19" s="15">
        <v>115.6</v>
      </c>
      <c r="G19" s="15">
        <v>44.2</v>
      </c>
      <c r="H19" s="16">
        <v>27.2</v>
      </c>
      <c r="I19" s="32"/>
      <c r="J19" s="1" t="s">
        <v>73</v>
      </c>
      <c r="K19" s="2">
        <v>0</v>
      </c>
      <c r="M19" s="27"/>
    </row>
    <row r="20" spans="1:18" x14ac:dyDescent="0.25">
      <c r="A20" s="17">
        <v>18</v>
      </c>
      <c r="B20" s="13">
        <v>93.6</v>
      </c>
      <c r="C20" s="13">
        <v>36</v>
      </c>
      <c r="D20" s="14">
        <v>111.6</v>
      </c>
      <c r="E20" s="14">
        <v>43.2</v>
      </c>
      <c r="F20" s="15">
        <v>122.4</v>
      </c>
      <c r="G20" s="15">
        <v>46.8</v>
      </c>
      <c r="H20" s="16">
        <v>28.8</v>
      </c>
      <c r="I20" s="32"/>
      <c r="J20" s="3" t="s">
        <v>68</v>
      </c>
      <c r="K20" s="37">
        <f>SUM((K18-K14)+28)</f>
        <v>-41211</v>
      </c>
      <c r="M20" s="27"/>
    </row>
    <row r="21" spans="1:18" x14ac:dyDescent="0.25">
      <c r="A21" s="17">
        <v>19</v>
      </c>
      <c r="B21" s="13">
        <v>98.8</v>
      </c>
      <c r="C21" s="13">
        <v>38</v>
      </c>
      <c r="D21" s="14">
        <v>117.8</v>
      </c>
      <c r="E21" s="14">
        <v>45.6</v>
      </c>
      <c r="F21" s="15">
        <v>129.19999999999999</v>
      </c>
      <c r="G21" s="15">
        <v>49.4</v>
      </c>
      <c r="H21" s="16">
        <v>30.4</v>
      </c>
      <c r="I21" s="32"/>
      <c r="J21" s="41" t="s">
        <v>74</v>
      </c>
      <c r="K21" s="42">
        <f>SUM((K20*K8)/365)</f>
        <v>-21723.27780821918</v>
      </c>
      <c r="M21" s="28">
        <f>SUM(K21/K7)</f>
        <v>-2935.578082191781</v>
      </c>
      <c r="N21" t="s">
        <v>75</v>
      </c>
      <c r="O21" t="s">
        <v>61</v>
      </c>
      <c r="P21" s="44">
        <f>K14</f>
        <v>41239</v>
      </c>
      <c r="Q21" t="s">
        <v>62</v>
      </c>
      <c r="R21" s="44">
        <f>K18+28</f>
        <v>28</v>
      </c>
    </row>
    <row r="22" spans="1:18" x14ac:dyDescent="0.25">
      <c r="A22" s="17">
        <v>20</v>
      </c>
      <c r="B22" s="13">
        <v>104</v>
      </c>
      <c r="C22" s="13">
        <v>40</v>
      </c>
      <c r="D22" s="14">
        <v>124</v>
      </c>
      <c r="E22" s="14">
        <v>48</v>
      </c>
      <c r="F22" s="15">
        <v>136</v>
      </c>
      <c r="G22" s="15">
        <v>52</v>
      </c>
      <c r="H22" s="16">
        <v>32</v>
      </c>
      <c r="I22" s="32"/>
      <c r="J22" s="41" t="s">
        <v>76</v>
      </c>
      <c r="K22" s="42">
        <f>SUM(((K7*20*(K19-K18-28))/365))</f>
        <v>-11.353424657534246</v>
      </c>
      <c r="L22" s="19"/>
      <c r="M22" s="28">
        <f>SUM(K22/K7)</f>
        <v>-1.5342465753424657</v>
      </c>
      <c r="N22" t="s">
        <v>75</v>
      </c>
      <c r="O22" t="s">
        <v>61</v>
      </c>
      <c r="P22" s="44">
        <f>K18+29</f>
        <v>29</v>
      </c>
      <c r="Q22" t="s">
        <v>62</v>
      </c>
      <c r="R22" s="44">
        <f>K19</f>
        <v>0</v>
      </c>
    </row>
    <row r="23" spans="1:18" x14ac:dyDescent="0.25">
      <c r="A23" s="17">
        <v>21</v>
      </c>
      <c r="B23" s="13">
        <v>109.2</v>
      </c>
      <c r="C23" s="13">
        <v>42</v>
      </c>
      <c r="D23" s="14">
        <v>130.19999999999999</v>
      </c>
      <c r="E23" s="14">
        <v>50.4</v>
      </c>
      <c r="F23" s="15">
        <v>142.80000000000001</v>
      </c>
      <c r="G23" s="15">
        <v>54.6</v>
      </c>
      <c r="H23" s="16">
        <v>33.6</v>
      </c>
      <c r="I23" s="32"/>
      <c r="J23" s="1" t="s">
        <v>77</v>
      </c>
      <c r="K23" s="45">
        <f>IF((K2+365)&gt;K19,(K2+365),(K2+365+365+365))</f>
        <v>366</v>
      </c>
      <c r="M23" s="27"/>
    </row>
    <row r="24" spans="1:18" ht="15.75" thickBot="1" x14ac:dyDescent="0.3">
      <c r="A24" s="17">
        <v>22</v>
      </c>
      <c r="B24" s="13">
        <v>114.4</v>
      </c>
      <c r="C24" s="13">
        <v>44</v>
      </c>
      <c r="D24" s="14">
        <v>136.4</v>
      </c>
      <c r="E24" s="14">
        <v>52.8</v>
      </c>
      <c r="F24" s="15">
        <v>149.6</v>
      </c>
      <c r="G24" s="15">
        <v>57.2</v>
      </c>
      <c r="H24" s="16">
        <v>35.200000000000003</v>
      </c>
      <c r="J24" s="3" t="s">
        <v>23</v>
      </c>
      <c r="K24" s="4">
        <f>SUM(K23-K19)</f>
        <v>366</v>
      </c>
      <c r="M24" s="27"/>
      <c r="N24" t="s">
        <v>78</v>
      </c>
      <c r="O24" t="s">
        <v>79</v>
      </c>
      <c r="P24" s="44">
        <f>K19</f>
        <v>0</v>
      </c>
      <c r="Q24" t="s">
        <v>62</v>
      </c>
      <c r="R24" s="44">
        <f>K23</f>
        <v>366</v>
      </c>
    </row>
    <row r="25" spans="1:18" x14ac:dyDescent="0.25">
      <c r="A25" s="17">
        <v>23</v>
      </c>
      <c r="B25" s="13">
        <v>119.6</v>
      </c>
      <c r="C25" s="13">
        <v>46</v>
      </c>
      <c r="D25" s="14">
        <v>142.6</v>
      </c>
      <c r="E25" s="14">
        <v>55.2</v>
      </c>
      <c r="F25" s="15">
        <v>156.4</v>
      </c>
      <c r="G25" s="15">
        <v>59.8</v>
      </c>
      <c r="H25" s="16">
        <v>36.799999999999997</v>
      </c>
      <c r="J25" s="1" t="s">
        <v>48</v>
      </c>
      <c r="K25" s="21">
        <v>6</v>
      </c>
      <c r="M25" s="27"/>
    </row>
    <row r="26" spans="1:18" x14ac:dyDescent="0.25">
      <c r="A26" s="17">
        <v>24</v>
      </c>
      <c r="B26" s="13">
        <v>124.8</v>
      </c>
      <c r="C26" s="13">
        <v>48</v>
      </c>
      <c r="D26" s="14">
        <v>148.80000000000001</v>
      </c>
      <c r="E26" s="14">
        <v>57.6</v>
      </c>
      <c r="F26" s="15">
        <v>163.19999999999999</v>
      </c>
      <c r="G26" s="15">
        <v>62.4</v>
      </c>
      <c r="H26" s="16">
        <v>38.4</v>
      </c>
      <c r="J26" s="41" t="s">
        <v>49</v>
      </c>
      <c r="K26" s="42">
        <f>SUM((K24*K8)/365)</f>
        <v>192.92712328767126</v>
      </c>
      <c r="L26" s="19"/>
      <c r="M26" s="28">
        <f>SUM(K26/K7)</f>
        <v>26.071232876712333</v>
      </c>
    </row>
    <row r="27" spans="1:18" ht="15.75" thickBot="1" x14ac:dyDescent="0.3">
      <c r="A27" s="17">
        <v>25</v>
      </c>
      <c r="B27" s="13">
        <v>130</v>
      </c>
      <c r="C27" s="13">
        <v>50</v>
      </c>
      <c r="D27" s="14">
        <v>155</v>
      </c>
      <c r="E27" s="14">
        <v>60</v>
      </c>
      <c r="F27" s="15">
        <v>170</v>
      </c>
      <c r="G27" s="15">
        <v>65</v>
      </c>
      <c r="H27" s="16">
        <v>40</v>
      </c>
      <c r="J27" s="36" t="s">
        <v>50</v>
      </c>
      <c r="K27" s="43">
        <f>SUM((K21*((20+K25)*K7))/365)</f>
        <v>-11450.845617264029</v>
      </c>
      <c r="L27" s="19"/>
      <c r="M27" s="28">
        <f>SUM(K27/K7)</f>
        <v>-1547.4115699005445</v>
      </c>
    </row>
    <row r="28" spans="1:18" ht="15.75" thickBot="1" x14ac:dyDescent="0.3">
      <c r="A28" s="17">
        <v>26</v>
      </c>
      <c r="B28" s="13">
        <v>135.19999999999999</v>
      </c>
      <c r="C28" s="13">
        <v>52</v>
      </c>
      <c r="D28" s="14">
        <v>161.19999999999999</v>
      </c>
      <c r="E28" s="14">
        <v>62.4</v>
      </c>
      <c r="F28" s="15">
        <v>176.8</v>
      </c>
      <c r="G28" s="15">
        <v>67.599999999999994</v>
      </c>
      <c r="H28" s="16">
        <v>41.6</v>
      </c>
      <c r="J28" s="34" t="s">
        <v>51</v>
      </c>
      <c r="K28" s="35"/>
      <c r="L28" s="19"/>
      <c r="M28" s="28"/>
    </row>
    <row r="29" spans="1:18" x14ac:dyDescent="0.25">
      <c r="A29" s="17">
        <v>27</v>
      </c>
      <c r="B29" s="13">
        <v>140.4</v>
      </c>
      <c r="C29" s="13">
        <v>54</v>
      </c>
      <c r="D29" s="14">
        <v>167.4</v>
      </c>
      <c r="E29" s="14">
        <v>64.8</v>
      </c>
      <c r="F29" s="15">
        <v>183.6</v>
      </c>
      <c r="G29" s="15">
        <v>70.2</v>
      </c>
      <c r="H29" s="16">
        <v>43.2</v>
      </c>
      <c r="J29" s="20" t="s">
        <v>80</v>
      </c>
      <c r="K29" s="21">
        <v>0</v>
      </c>
      <c r="M29" s="27"/>
      <c r="N29" t="s">
        <v>81</v>
      </c>
      <c r="O29" t="s">
        <v>61</v>
      </c>
      <c r="P29" s="44">
        <f>K2</f>
        <v>1</v>
      </c>
      <c r="Q29" t="s">
        <v>62</v>
      </c>
      <c r="R29" s="44">
        <f>K23</f>
        <v>366</v>
      </c>
    </row>
    <row r="30" spans="1:18" ht="15.75" thickBot="1" x14ac:dyDescent="0.3">
      <c r="A30" s="17">
        <v>28</v>
      </c>
      <c r="B30" s="13">
        <v>145.6</v>
      </c>
      <c r="C30" s="13">
        <v>56</v>
      </c>
      <c r="D30" s="14">
        <v>173.6</v>
      </c>
      <c r="E30" s="14">
        <v>67.2</v>
      </c>
      <c r="F30" s="15">
        <v>190.4</v>
      </c>
      <c r="G30" s="15">
        <v>72.8</v>
      </c>
      <c r="H30" s="16">
        <v>44.8</v>
      </c>
      <c r="J30" s="30" t="s">
        <v>53</v>
      </c>
      <c r="K30" s="31">
        <f>SUM((K10+K11+K12+K17+K22)-(K29*K7))</f>
        <v>20027.116712328767</v>
      </c>
      <c r="M30" s="40">
        <f>SUM(K30/K7)</f>
        <v>2706.3671232876709</v>
      </c>
      <c r="N30" t="s">
        <v>82</v>
      </c>
    </row>
    <row r="31" spans="1:18" ht="15.75" thickBot="1" x14ac:dyDescent="0.3">
      <c r="A31" s="17">
        <v>29</v>
      </c>
      <c r="B31" s="13">
        <v>150.80000000000001</v>
      </c>
      <c r="C31" s="13">
        <v>58</v>
      </c>
      <c r="D31" s="14">
        <v>179.8</v>
      </c>
      <c r="E31" s="14">
        <v>69.599999999999994</v>
      </c>
      <c r="F31" s="15">
        <v>197.2</v>
      </c>
      <c r="G31" s="15">
        <v>75.400000000000006</v>
      </c>
      <c r="H31" s="16">
        <v>46.4</v>
      </c>
      <c r="J31" s="33"/>
      <c r="K31" s="38"/>
      <c r="M31" s="28"/>
    </row>
    <row r="32" spans="1:18" ht="15.75" thickBot="1" x14ac:dyDescent="0.3">
      <c r="A32" s="17">
        <v>30</v>
      </c>
      <c r="B32" s="13">
        <v>156</v>
      </c>
      <c r="C32" s="13">
        <v>60</v>
      </c>
      <c r="D32" s="14">
        <v>186</v>
      </c>
      <c r="E32" s="14">
        <v>72</v>
      </c>
      <c r="F32" s="15">
        <v>204</v>
      </c>
      <c r="G32" s="15">
        <v>78</v>
      </c>
      <c r="H32" s="16">
        <v>48</v>
      </c>
      <c r="J32" s="30" t="s">
        <v>83</v>
      </c>
      <c r="K32" s="31">
        <f>SUM((K10+K11+K12+K16+K17+K21+K22+K26)-(K29*K7))</f>
        <v>-1455.063013698634</v>
      </c>
      <c r="M32" s="39">
        <f>SUM(K32/K7)</f>
        <v>-196.63013698630189</v>
      </c>
    </row>
    <row r="33" spans="1:11" ht="15.75" thickBot="1" x14ac:dyDescent="0.3">
      <c r="A33" s="17">
        <v>31</v>
      </c>
      <c r="B33" s="13">
        <v>161.19999999999999</v>
      </c>
      <c r="C33" s="13">
        <v>62</v>
      </c>
      <c r="D33" s="14">
        <v>192.2</v>
      </c>
      <c r="E33" s="14">
        <v>74.400000000000006</v>
      </c>
      <c r="F33" s="15">
        <v>210.8</v>
      </c>
      <c r="G33" s="15">
        <v>80.599999999999994</v>
      </c>
      <c r="H33" s="16">
        <v>49.6</v>
      </c>
      <c r="J33" s="24" t="s">
        <v>33</v>
      </c>
      <c r="K33" s="25">
        <f>SUM(K25*K7)</f>
        <v>44.400000000000006</v>
      </c>
    </row>
    <row r="34" spans="1:11" x14ac:dyDescent="0.25">
      <c r="A34" s="17">
        <v>32</v>
      </c>
      <c r="B34" s="13">
        <v>166.4</v>
      </c>
      <c r="C34" s="13">
        <v>64</v>
      </c>
      <c r="D34" s="14">
        <v>198.4</v>
      </c>
      <c r="E34" s="14">
        <v>76.8</v>
      </c>
      <c r="F34" s="15">
        <v>217.6</v>
      </c>
      <c r="G34" s="15">
        <v>83.2</v>
      </c>
      <c r="H34" s="16">
        <v>51.2</v>
      </c>
    </row>
    <row r="35" spans="1:11" x14ac:dyDescent="0.25">
      <c r="A35" s="17">
        <v>33</v>
      </c>
      <c r="B35" s="13">
        <v>171.6</v>
      </c>
      <c r="C35" s="13">
        <v>66</v>
      </c>
      <c r="D35" s="14">
        <v>204.6</v>
      </c>
      <c r="E35" s="14">
        <v>79.2</v>
      </c>
      <c r="F35" s="15">
        <v>224.4</v>
      </c>
      <c r="G35" s="15">
        <v>85.8</v>
      </c>
      <c r="H35" s="16">
        <v>52.8</v>
      </c>
      <c r="J35" s="7" t="s">
        <v>34</v>
      </c>
    </row>
    <row r="36" spans="1:11" x14ac:dyDescent="0.25">
      <c r="A36" s="17">
        <v>34</v>
      </c>
      <c r="B36" s="13">
        <v>176.8</v>
      </c>
      <c r="C36" s="13">
        <v>68</v>
      </c>
      <c r="D36" s="14">
        <v>210.8</v>
      </c>
      <c r="E36" s="14">
        <v>81.599999999999994</v>
      </c>
      <c r="F36" s="15">
        <v>231.2</v>
      </c>
      <c r="G36" s="15">
        <v>88.4</v>
      </c>
      <c r="H36" s="16">
        <v>54.4</v>
      </c>
      <c r="J36" s="8" t="s">
        <v>35</v>
      </c>
    </row>
    <row r="37" spans="1:11" x14ac:dyDescent="0.25">
      <c r="A37" s="17">
        <v>35</v>
      </c>
      <c r="B37" s="13">
        <v>182</v>
      </c>
      <c r="C37" s="13">
        <v>70</v>
      </c>
      <c r="D37" s="14">
        <v>217</v>
      </c>
      <c r="E37" s="14">
        <v>84</v>
      </c>
      <c r="F37" s="15">
        <v>238</v>
      </c>
      <c r="G37" s="15">
        <v>91</v>
      </c>
      <c r="H37" s="16">
        <v>56</v>
      </c>
    </row>
    <row r="38" spans="1:11" x14ac:dyDescent="0.25">
      <c r="A38" s="17">
        <v>36</v>
      </c>
      <c r="B38" s="13">
        <v>187.2</v>
      </c>
      <c r="C38" s="13">
        <v>72</v>
      </c>
      <c r="D38" s="14">
        <v>223.2</v>
      </c>
      <c r="E38" s="14">
        <v>86.4</v>
      </c>
      <c r="F38" s="15">
        <v>244.8</v>
      </c>
      <c r="G38" s="15">
        <v>93.6</v>
      </c>
      <c r="H38" s="16">
        <v>57.6</v>
      </c>
    </row>
    <row r="39" spans="1:11" ht="15.75" thickBot="1" x14ac:dyDescent="0.3">
      <c r="A39" s="18">
        <v>37</v>
      </c>
      <c r="B39" s="13">
        <v>192.4</v>
      </c>
      <c r="C39" s="13">
        <v>74</v>
      </c>
      <c r="D39" s="14">
        <v>229.4</v>
      </c>
      <c r="E39" s="14">
        <v>88.8</v>
      </c>
      <c r="F39" s="15">
        <v>251.6</v>
      </c>
      <c r="G39" s="15">
        <v>96.2</v>
      </c>
      <c r="H39" s="16">
        <v>59.2</v>
      </c>
      <c r="J39" t="s">
        <v>84</v>
      </c>
    </row>
    <row r="40" spans="1:11" x14ac:dyDescent="0.25">
      <c r="J40" t="s">
        <v>85</v>
      </c>
    </row>
    <row r="41" spans="1:11" x14ac:dyDescent="0.25">
      <c r="J41" s="22"/>
    </row>
    <row r="42" spans="1:11" x14ac:dyDescent="0.25">
      <c r="J42" s="22"/>
    </row>
    <row r="43" spans="1:11" x14ac:dyDescent="0.25">
      <c r="J43" s="22"/>
    </row>
    <row r="44" spans="1:11" x14ac:dyDescent="0.25">
      <c r="J44" s="22"/>
    </row>
    <row r="45" spans="1:11" x14ac:dyDescent="0.25">
      <c r="J45" s="23"/>
    </row>
    <row r="46" spans="1:11" x14ac:dyDescent="0.25">
      <c r="J46" s="22"/>
    </row>
    <row r="47" spans="1:11" x14ac:dyDescent="0.25">
      <c r="J47" s="22"/>
    </row>
    <row r="48" spans="1:11" x14ac:dyDescent="0.25">
      <c r="J48" s="22"/>
    </row>
    <row r="49" spans="10:10" x14ac:dyDescent="0.25">
      <c r="J49" s="23"/>
    </row>
    <row r="50" spans="10:10" x14ac:dyDescent="0.25">
      <c r="J50" s="22"/>
    </row>
    <row r="51" spans="10:10" x14ac:dyDescent="0.25">
      <c r="J51" s="22"/>
    </row>
    <row r="52" spans="10:10" x14ac:dyDescent="0.25">
      <c r="J52" s="22"/>
    </row>
    <row r="53" spans="10:10" x14ac:dyDescent="0.25">
      <c r="J53" s="22"/>
    </row>
    <row r="54" spans="10:10" x14ac:dyDescent="0.25">
      <c r="J54" s="22"/>
    </row>
    <row r="55" spans="10:10" x14ac:dyDescent="0.25">
      <c r="J55" s="23"/>
    </row>
    <row r="56" spans="10:10" x14ac:dyDescent="0.25">
      <c r="J56" s="22"/>
    </row>
    <row r="57" spans="10:10" x14ac:dyDescent="0.25">
      <c r="J57" s="22"/>
    </row>
    <row r="58" spans="10:10" x14ac:dyDescent="0.25">
      <c r="J58" s="22"/>
    </row>
    <row r="59" spans="10:10" x14ac:dyDescent="0.25">
      <c r="J59" s="22"/>
    </row>
    <row r="60" spans="10:10" x14ac:dyDescent="0.25">
      <c r="J60" s="22"/>
    </row>
    <row r="61" spans="10:10" x14ac:dyDescent="0.25">
      <c r="J61" s="22"/>
    </row>
    <row r="62" spans="10:10" x14ac:dyDescent="0.25">
      <c r="J62" s="22"/>
    </row>
    <row r="63" spans="10:10" x14ac:dyDescent="0.25">
      <c r="J63" s="22"/>
    </row>
  </sheetData>
  <mergeCells count="2">
    <mergeCell ref="A1:H1"/>
    <mergeCell ref="J1:K1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>
      <selection activeCell="A30" sqref="A30"/>
    </sheetView>
  </sheetViews>
  <sheetFormatPr defaultRowHeight="15" x14ac:dyDescent="0.25"/>
  <cols>
    <col min="1" max="1" width="90" bestFit="1" customWidth="1"/>
    <col min="2" max="2" width="10.7109375" bestFit="1" customWidth="1"/>
  </cols>
  <sheetData>
    <row r="1" spans="1:2" x14ac:dyDescent="0.25">
      <c r="A1" s="124" t="s">
        <v>86</v>
      </c>
      <c r="B1" s="125"/>
    </row>
    <row r="2" spans="1:2" x14ac:dyDescent="0.25">
      <c r="A2" s="1" t="s">
        <v>87</v>
      </c>
      <c r="B2" s="2">
        <v>42464</v>
      </c>
    </row>
    <row r="3" spans="1:2" x14ac:dyDescent="0.25">
      <c r="A3" s="46" t="s">
        <v>88</v>
      </c>
      <c r="B3" s="6">
        <v>12</v>
      </c>
    </row>
    <row r="4" spans="1:2" x14ac:dyDescent="0.25">
      <c r="A4" s="3" t="s">
        <v>89</v>
      </c>
      <c r="B4" s="58">
        <f>SUM((B3*7)+B2)</f>
        <v>42548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2"/>
  <sheetViews>
    <sheetView topLeftCell="A12" workbookViewId="0">
      <selection activeCell="H34" sqref="H34"/>
    </sheetView>
  </sheetViews>
  <sheetFormatPr defaultRowHeight="15" x14ac:dyDescent="0.25"/>
  <cols>
    <col min="1" max="1" width="18.5703125" bestFit="1" customWidth="1"/>
    <col min="2" max="2" width="15.5703125" bestFit="1" customWidth="1"/>
  </cols>
  <sheetData>
    <row r="1" spans="1:2" ht="15.75" thickBot="1" x14ac:dyDescent="0.3">
      <c r="A1" s="59" t="s">
        <v>90</v>
      </c>
      <c r="B1" s="60" t="s">
        <v>91</v>
      </c>
    </row>
    <row r="2" spans="1:2" x14ac:dyDescent="0.25">
      <c r="A2" s="61">
        <v>60</v>
      </c>
      <c r="B2" s="62" t="s">
        <v>92</v>
      </c>
    </row>
    <row r="3" spans="1:2" x14ac:dyDescent="0.25">
      <c r="A3" s="61">
        <f>SUM(A2-1)</f>
        <v>59</v>
      </c>
      <c r="B3" s="63">
        <v>0.98</v>
      </c>
    </row>
    <row r="4" spans="1:2" x14ac:dyDescent="0.25">
      <c r="A4" s="61">
        <f t="shared" ref="A4:A62" si="0">SUM(A3-1)</f>
        <v>58</v>
      </c>
      <c r="B4" s="63">
        <v>0.96</v>
      </c>
    </row>
    <row r="5" spans="1:2" x14ac:dyDescent="0.25">
      <c r="A5" s="61">
        <f t="shared" si="0"/>
        <v>57</v>
      </c>
      <c r="B5" s="63">
        <v>0.95</v>
      </c>
    </row>
    <row r="6" spans="1:2" x14ac:dyDescent="0.25">
      <c r="A6" s="61">
        <f t="shared" si="0"/>
        <v>56</v>
      </c>
      <c r="B6" s="63">
        <v>0.93</v>
      </c>
    </row>
    <row r="7" spans="1:2" x14ac:dyDescent="0.25">
      <c r="A7" s="61">
        <f t="shared" si="0"/>
        <v>55</v>
      </c>
      <c r="B7" s="63">
        <v>0.91</v>
      </c>
    </row>
    <row r="8" spans="1:2" x14ac:dyDescent="0.25">
      <c r="A8" s="61">
        <f t="shared" si="0"/>
        <v>54</v>
      </c>
      <c r="B8" s="63">
        <v>0.9</v>
      </c>
    </row>
    <row r="9" spans="1:2" x14ac:dyDescent="0.25">
      <c r="A9" s="61">
        <f t="shared" si="0"/>
        <v>53</v>
      </c>
      <c r="B9" s="63">
        <v>0.88</v>
      </c>
    </row>
    <row r="10" spans="1:2" x14ac:dyDescent="0.25">
      <c r="A10" s="61">
        <f t="shared" si="0"/>
        <v>52</v>
      </c>
      <c r="B10" s="63">
        <v>0.86</v>
      </c>
    </row>
    <row r="11" spans="1:2" x14ac:dyDescent="0.25">
      <c r="A11" s="61">
        <f t="shared" si="0"/>
        <v>51</v>
      </c>
      <c r="B11" s="63">
        <v>0.85</v>
      </c>
    </row>
    <row r="12" spans="1:2" x14ac:dyDescent="0.25">
      <c r="A12" s="61">
        <f t="shared" si="0"/>
        <v>50</v>
      </c>
      <c r="B12" s="63">
        <v>0.83</v>
      </c>
    </row>
    <row r="13" spans="1:2" x14ac:dyDescent="0.25">
      <c r="A13" s="61">
        <f t="shared" si="0"/>
        <v>49</v>
      </c>
      <c r="B13" s="63">
        <v>0.81</v>
      </c>
    </row>
    <row r="14" spans="1:2" x14ac:dyDescent="0.25">
      <c r="A14" s="61">
        <f t="shared" si="0"/>
        <v>48</v>
      </c>
      <c r="B14" s="63">
        <v>0.8</v>
      </c>
    </row>
    <row r="15" spans="1:2" x14ac:dyDescent="0.25">
      <c r="A15" s="61">
        <f t="shared" si="0"/>
        <v>47</v>
      </c>
      <c r="B15" s="63">
        <v>0.78</v>
      </c>
    </row>
    <row r="16" spans="1:2" x14ac:dyDescent="0.25">
      <c r="A16" s="61">
        <f t="shared" si="0"/>
        <v>46</v>
      </c>
      <c r="B16" s="63">
        <v>0.76</v>
      </c>
    </row>
    <row r="17" spans="1:2" x14ac:dyDescent="0.25">
      <c r="A17" s="61">
        <f t="shared" si="0"/>
        <v>45</v>
      </c>
      <c r="B17" s="63">
        <v>0.75</v>
      </c>
    </row>
    <row r="18" spans="1:2" x14ac:dyDescent="0.25">
      <c r="A18" s="61">
        <f t="shared" si="0"/>
        <v>44</v>
      </c>
      <c r="B18" s="63">
        <v>0.73</v>
      </c>
    </row>
    <row r="19" spans="1:2" x14ac:dyDescent="0.25">
      <c r="A19" s="61">
        <f t="shared" si="0"/>
        <v>43</v>
      </c>
      <c r="B19" s="63">
        <v>0.71</v>
      </c>
    </row>
    <row r="20" spans="1:2" x14ac:dyDescent="0.25">
      <c r="A20" s="61">
        <f t="shared" si="0"/>
        <v>42</v>
      </c>
      <c r="B20" s="63">
        <v>0.7</v>
      </c>
    </row>
    <row r="21" spans="1:2" x14ac:dyDescent="0.25">
      <c r="A21" s="61">
        <f t="shared" si="0"/>
        <v>41</v>
      </c>
      <c r="B21" s="63">
        <v>0.68</v>
      </c>
    </row>
    <row r="22" spans="1:2" x14ac:dyDescent="0.25">
      <c r="A22" s="61">
        <f t="shared" si="0"/>
        <v>40</v>
      </c>
      <c r="B22" s="63">
        <v>0.66</v>
      </c>
    </row>
    <row r="23" spans="1:2" x14ac:dyDescent="0.25">
      <c r="A23" s="61">
        <f t="shared" si="0"/>
        <v>39</v>
      </c>
      <c r="B23" s="63">
        <v>0.65</v>
      </c>
    </row>
    <row r="24" spans="1:2" x14ac:dyDescent="0.25">
      <c r="A24" s="61">
        <f t="shared" si="0"/>
        <v>38</v>
      </c>
      <c r="B24" s="63">
        <v>0.63</v>
      </c>
    </row>
    <row r="25" spans="1:2" x14ac:dyDescent="0.25">
      <c r="A25" s="61">
        <f t="shared" si="0"/>
        <v>37</v>
      </c>
      <c r="B25" s="63">
        <v>0.61</v>
      </c>
    </row>
    <row r="26" spans="1:2" x14ac:dyDescent="0.25">
      <c r="A26" s="61">
        <f t="shared" si="0"/>
        <v>36</v>
      </c>
      <c r="B26" s="63">
        <v>0.6</v>
      </c>
    </row>
    <row r="27" spans="1:2" x14ac:dyDescent="0.25">
      <c r="A27" s="61">
        <f t="shared" si="0"/>
        <v>35</v>
      </c>
      <c r="B27" s="63">
        <v>0.57999999999999996</v>
      </c>
    </row>
    <row r="28" spans="1:2" x14ac:dyDescent="0.25">
      <c r="A28" s="61">
        <f t="shared" si="0"/>
        <v>34</v>
      </c>
      <c r="B28" s="63">
        <v>0.56000000000000005</v>
      </c>
    </row>
    <row r="29" spans="1:2" x14ac:dyDescent="0.25">
      <c r="A29" s="61">
        <f t="shared" si="0"/>
        <v>33</v>
      </c>
      <c r="B29" s="63">
        <v>0.55000000000000004</v>
      </c>
    </row>
    <row r="30" spans="1:2" x14ac:dyDescent="0.25">
      <c r="A30" s="61">
        <f t="shared" si="0"/>
        <v>32</v>
      </c>
      <c r="B30" s="63">
        <v>0.53</v>
      </c>
    </row>
    <row r="31" spans="1:2" x14ac:dyDescent="0.25">
      <c r="A31" s="61">
        <f t="shared" si="0"/>
        <v>31</v>
      </c>
      <c r="B31" s="63">
        <v>0.51</v>
      </c>
    </row>
    <row r="32" spans="1:2" x14ac:dyDescent="0.25">
      <c r="A32" s="61">
        <f t="shared" si="0"/>
        <v>30</v>
      </c>
      <c r="B32" s="63">
        <v>0.5</v>
      </c>
    </row>
    <row r="33" spans="1:2" x14ac:dyDescent="0.25">
      <c r="A33" s="61">
        <f t="shared" si="0"/>
        <v>29</v>
      </c>
      <c r="B33" s="63">
        <v>0.48</v>
      </c>
    </row>
    <row r="34" spans="1:2" x14ac:dyDescent="0.25">
      <c r="A34" s="61">
        <f t="shared" si="0"/>
        <v>28</v>
      </c>
      <c r="B34" s="63">
        <v>0.46</v>
      </c>
    </row>
    <row r="35" spans="1:2" x14ac:dyDescent="0.25">
      <c r="A35" s="61">
        <f t="shared" si="0"/>
        <v>27</v>
      </c>
      <c r="B35" s="63">
        <v>0.45</v>
      </c>
    </row>
    <row r="36" spans="1:2" x14ac:dyDescent="0.25">
      <c r="A36" s="61">
        <f t="shared" si="0"/>
        <v>26</v>
      </c>
      <c r="B36" s="63">
        <v>0.43</v>
      </c>
    </row>
    <row r="37" spans="1:2" x14ac:dyDescent="0.25">
      <c r="A37" s="61">
        <f t="shared" si="0"/>
        <v>25</v>
      </c>
      <c r="B37" s="63">
        <v>0.41</v>
      </c>
    </row>
    <row r="38" spans="1:2" x14ac:dyDescent="0.25">
      <c r="A38" s="61">
        <f t="shared" si="0"/>
        <v>24</v>
      </c>
      <c r="B38" s="63">
        <v>0.4</v>
      </c>
    </row>
    <row r="39" spans="1:2" x14ac:dyDescent="0.25">
      <c r="A39" s="61">
        <f t="shared" si="0"/>
        <v>23</v>
      </c>
      <c r="B39" s="63">
        <v>0.38</v>
      </c>
    </row>
    <row r="40" spans="1:2" x14ac:dyDescent="0.25">
      <c r="A40" s="61">
        <f t="shared" si="0"/>
        <v>22</v>
      </c>
      <c r="B40" s="63">
        <v>0.36</v>
      </c>
    </row>
    <row r="41" spans="1:2" x14ac:dyDescent="0.25">
      <c r="A41" s="61">
        <f t="shared" si="0"/>
        <v>21</v>
      </c>
      <c r="B41" s="63">
        <v>0.35</v>
      </c>
    </row>
    <row r="42" spans="1:2" x14ac:dyDescent="0.25">
      <c r="A42" s="61">
        <f t="shared" si="0"/>
        <v>20</v>
      </c>
      <c r="B42" s="63">
        <v>0.33</v>
      </c>
    </row>
    <row r="43" spans="1:2" x14ac:dyDescent="0.25">
      <c r="A43" s="61">
        <f t="shared" si="0"/>
        <v>19</v>
      </c>
      <c r="B43" s="63">
        <v>0.31</v>
      </c>
    </row>
    <row r="44" spans="1:2" x14ac:dyDescent="0.25">
      <c r="A44" s="61">
        <f t="shared" si="0"/>
        <v>18</v>
      </c>
      <c r="B44" s="63">
        <v>0.3</v>
      </c>
    </row>
    <row r="45" spans="1:2" x14ac:dyDescent="0.25">
      <c r="A45" s="61">
        <f t="shared" si="0"/>
        <v>17</v>
      </c>
      <c r="B45" s="63">
        <v>0.28000000000000003</v>
      </c>
    </row>
    <row r="46" spans="1:2" x14ac:dyDescent="0.25">
      <c r="A46" s="61">
        <f t="shared" si="0"/>
        <v>16</v>
      </c>
      <c r="B46" s="63">
        <v>0.26</v>
      </c>
    </row>
    <row r="47" spans="1:2" x14ac:dyDescent="0.25">
      <c r="A47" s="61">
        <f t="shared" si="0"/>
        <v>15</v>
      </c>
      <c r="B47" s="63">
        <v>0.25</v>
      </c>
    </row>
    <row r="48" spans="1:2" x14ac:dyDescent="0.25">
      <c r="A48" s="61">
        <f t="shared" si="0"/>
        <v>14</v>
      </c>
      <c r="B48" s="63">
        <v>0.23</v>
      </c>
    </row>
    <row r="49" spans="1:2" x14ac:dyDescent="0.25">
      <c r="A49" s="61">
        <f t="shared" si="0"/>
        <v>13</v>
      </c>
      <c r="B49" s="63">
        <v>0.21</v>
      </c>
    </row>
    <row r="50" spans="1:2" x14ac:dyDescent="0.25">
      <c r="A50" s="61">
        <f t="shared" si="0"/>
        <v>12</v>
      </c>
      <c r="B50" s="63">
        <v>0.2</v>
      </c>
    </row>
    <row r="51" spans="1:2" x14ac:dyDescent="0.25">
      <c r="A51" s="61">
        <f t="shared" si="0"/>
        <v>11</v>
      </c>
      <c r="B51" s="63">
        <v>0.18</v>
      </c>
    </row>
    <row r="52" spans="1:2" x14ac:dyDescent="0.25">
      <c r="A52" s="61">
        <f t="shared" si="0"/>
        <v>10</v>
      </c>
      <c r="B52" s="63">
        <v>0.16</v>
      </c>
    </row>
    <row r="53" spans="1:2" x14ac:dyDescent="0.25">
      <c r="A53" s="61">
        <f t="shared" si="0"/>
        <v>9</v>
      </c>
      <c r="B53" s="63">
        <v>0.15</v>
      </c>
    </row>
    <row r="54" spans="1:2" x14ac:dyDescent="0.25">
      <c r="A54" s="61">
        <f t="shared" si="0"/>
        <v>8</v>
      </c>
      <c r="B54" s="63">
        <v>0.13</v>
      </c>
    </row>
    <row r="55" spans="1:2" x14ac:dyDescent="0.25">
      <c r="A55" s="61">
        <f t="shared" si="0"/>
        <v>7</v>
      </c>
      <c r="B55" s="63">
        <v>0.11</v>
      </c>
    </row>
    <row r="56" spans="1:2" x14ac:dyDescent="0.25">
      <c r="A56" s="61">
        <f t="shared" si="0"/>
        <v>6</v>
      </c>
      <c r="B56" s="63">
        <v>0.1</v>
      </c>
    </row>
    <row r="57" spans="1:2" x14ac:dyDescent="0.25">
      <c r="A57" s="61">
        <f t="shared" si="0"/>
        <v>5</v>
      </c>
      <c r="B57" s="63">
        <v>0.08</v>
      </c>
    </row>
    <row r="58" spans="1:2" x14ac:dyDescent="0.25">
      <c r="A58" s="61">
        <f t="shared" si="0"/>
        <v>4</v>
      </c>
      <c r="B58" s="63">
        <v>0.06</v>
      </c>
    </row>
    <row r="59" spans="1:2" x14ac:dyDescent="0.25">
      <c r="A59" s="61">
        <f t="shared" si="0"/>
        <v>3</v>
      </c>
      <c r="B59" s="63">
        <v>0.05</v>
      </c>
    </row>
    <row r="60" spans="1:2" x14ac:dyDescent="0.25">
      <c r="A60" s="61">
        <f t="shared" si="0"/>
        <v>2</v>
      </c>
      <c r="B60" s="63">
        <v>0.03</v>
      </c>
    </row>
    <row r="61" spans="1:2" x14ac:dyDescent="0.25">
      <c r="A61" s="61">
        <f t="shared" si="0"/>
        <v>1</v>
      </c>
      <c r="B61" s="63">
        <v>0.01</v>
      </c>
    </row>
    <row r="62" spans="1:2" ht="15.75" thickBot="1" x14ac:dyDescent="0.3">
      <c r="A62" s="61">
        <f t="shared" si="0"/>
        <v>0</v>
      </c>
      <c r="B62" s="6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64AD8FE8350742ADCBDAB2764E4C06" ma:contentTypeVersion="16" ma:contentTypeDescription="Create a new document." ma:contentTypeScope="" ma:versionID="4db519e4c9598b83a563a345cae54a1b">
  <xsd:schema xmlns:xsd="http://www.w3.org/2001/XMLSchema" xmlns:xs="http://www.w3.org/2001/XMLSchema" xmlns:p="http://schemas.microsoft.com/office/2006/metadata/properties" xmlns:ns2="c6e5c394-54dd-46f3-a32c-99ea1dc187c2" xmlns:ns3="e2d0c5be-ef18-446e-9ad8-b76b42ded427" xmlns:ns4="2fc2a8c7-3b3f-4409-bc78-aa40538e7eb1" targetNamespace="http://schemas.microsoft.com/office/2006/metadata/properties" ma:root="true" ma:fieldsID="877c68579f2dbc99da0aa969e35b4fc6" ns2:_="" ns3:_="" ns4:_="">
    <xsd:import namespace="c6e5c394-54dd-46f3-a32c-99ea1dc187c2"/>
    <xsd:import namespace="e2d0c5be-ef18-446e-9ad8-b76b42ded427"/>
    <xsd:import namespace="2fc2a8c7-3b3f-4409-bc78-aa40538e7e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5c394-54dd-46f3-a32c-99ea1dc187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0c5be-ef18-446e-9ad8-b76b42ded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820720-3cae-4e0f-87a0-a0b1591a73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2a8c7-3b3f-4409-bc78-aa40538e7eb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1a229ed-8491-4a6d-bb3c-f7967ac7ed17}" ma:internalName="TaxCatchAll" ma:showField="CatchAllData" ma:web="c6e5c394-54dd-46f3-a32c-99ea1dc187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d0c5be-ef18-446e-9ad8-b76b42ded427">
      <Terms xmlns="http://schemas.microsoft.com/office/infopath/2007/PartnerControls"/>
    </lcf76f155ced4ddcb4097134ff3c332f>
    <TaxCatchAll xmlns="2fc2a8c7-3b3f-4409-bc78-aa40538e7eb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7FD96F-4FC9-4704-BEF9-BA596E6F7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5c394-54dd-46f3-a32c-99ea1dc187c2"/>
    <ds:schemaRef ds:uri="e2d0c5be-ef18-446e-9ad8-b76b42ded427"/>
    <ds:schemaRef ds:uri="2fc2a8c7-3b3f-4409-bc78-aa40538e7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AE3C3E-3014-4EC8-92C7-F70FFBE0019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c6e5c394-54dd-46f3-a32c-99ea1dc187c2"/>
    <ds:schemaRef ds:uri="e2d0c5be-ef18-446e-9ad8-b76b42ded427"/>
    <ds:schemaRef ds:uri="http://schemas.openxmlformats.org/package/2006/metadata/core-properties"/>
    <ds:schemaRef ds:uri="2fc2a8c7-3b3f-4409-bc78-aa40538e7e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B49773-ADBF-4A3B-A9EB-BDA0CBCE41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Sick over 1 leave year</vt:lpstr>
      <vt:lpstr>Sick over 2 leave years</vt:lpstr>
      <vt:lpstr>multiple LTS dates in progress</vt:lpstr>
      <vt:lpstr>Sickness Dismissal Date</vt:lpstr>
      <vt:lpstr>Minute Guide</vt:lpstr>
      <vt:lpstr>'Sick over 1 leave year'!Print_Area</vt:lpstr>
      <vt:lpstr>'Sick over 2 leave years'!Print_Area</vt:lpstr>
    </vt:vector>
  </TitlesOfParts>
  <Manager/>
  <Company>Carmarthenshire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Kmccarthy</dc:creator>
  <cp:keywords/>
  <dc:description/>
  <cp:lastModifiedBy>Rebecca M Evans (HR)</cp:lastModifiedBy>
  <cp:revision/>
  <dcterms:created xsi:type="dcterms:W3CDTF">2012-05-25T11:51:22Z</dcterms:created>
  <dcterms:modified xsi:type="dcterms:W3CDTF">2024-01-09T14:46:55Z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